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guske/Desktop/"/>
    </mc:Choice>
  </mc:AlternateContent>
  <xr:revisionPtr revIDLastSave="0" documentId="13_ncr:1_{D0F69C62-FCAF-634B-8C5B-EAEC6EB5B63D}" xr6:coauthVersionLast="47" xr6:coauthVersionMax="47" xr10:uidLastSave="{00000000-0000-0000-0000-000000000000}"/>
  <bookViews>
    <workbookView xWindow="240" yWindow="460" windowWidth="47500" windowHeight="18640" tabRatio="500" xr2:uid="{00000000-000D-0000-FFFF-FFFF00000000}"/>
  </bookViews>
  <sheets>
    <sheet name="Scenario 1" sheetId="5" r:id="rId1"/>
    <sheet name="Scenario 2" sheetId="10" r:id="rId2"/>
    <sheet name="Scenario 3" sheetId="9" r:id="rId3"/>
    <sheet name="Scenario 4" sheetId="11" r:id="rId4"/>
    <sheet name="AllScenarios - ROIC &amp; FCFcharts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8" i="12" l="1"/>
  <c r="A76" i="12"/>
  <c r="A61" i="12"/>
  <c r="A70" i="12"/>
  <c r="A46" i="12"/>
  <c r="A43" i="12"/>
  <c r="A40" i="12"/>
  <c r="A12" i="12"/>
  <c r="A15" i="12"/>
  <c r="D15" i="12" s="1"/>
  <c r="D40" i="12" s="1"/>
  <c r="D70" i="12" s="1"/>
  <c r="D55" i="12" s="1"/>
  <c r="A8" i="12"/>
  <c r="A27" i="12"/>
  <c r="A24" i="12"/>
  <c r="A6" i="12"/>
  <c r="A5" i="12"/>
  <c r="A4" i="12"/>
  <c r="D3" i="12"/>
  <c r="E3" i="12" s="1"/>
  <c r="F3" i="12" s="1"/>
  <c r="AH78" i="12"/>
  <c r="AG78" i="12"/>
  <c r="AF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AH48" i="12"/>
  <c r="AG48" i="12"/>
  <c r="AF48" i="12"/>
  <c r="AE48" i="12"/>
  <c r="AD48" i="12"/>
  <c r="AC48" i="12"/>
  <c r="AB48" i="12"/>
  <c r="AA48" i="12"/>
  <c r="Z48" i="12"/>
  <c r="N48" i="12"/>
  <c r="B42" i="12"/>
  <c r="B41" i="12"/>
  <c r="C40" i="12"/>
  <c r="C70" i="12" s="1"/>
  <c r="C55" i="12" s="1"/>
  <c r="B32" i="12"/>
  <c r="B56" i="12" s="1"/>
  <c r="B57" i="12" s="1"/>
  <c r="B31" i="12"/>
  <c r="B71" i="12" s="1"/>
  <c r="B72" i="12" s="1"/>
  <c r="B29" i="12"/>
  <c r="B27" i="12"/>
  <c r="Z26" i="12"/>
  <c r="B25" i="12"/>
  <c r="B24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C19" i="12"/>
  <c r="C6" i="12"/>
  <c r="C5" i="12"/>
  <c r="C24" i="12" s="1"/>
  <c r="C4" i="12"/>
  <c r="C7" i="12" s="1"/>
  <c r="AH47" i="11"/>
  <c r="AG47" i="11"/>
  <c r="AF47" i="11"/>
  <c r="AE47" i="11"/>
  <c r="AD47" i="11"/>
  <c r="AC47" i="11"/>
  <c r="AB47" i="11"/>
  <c r="AA47" i="11"/>
  <c r="Z47" i="11"/>
  <c r="N47" i="11"/>
  <c r="B40" i="11"/>
  <c r="B41" i="11" s="1"/>
  <c r="C39" i="11"/>
  <c r="AH35" i="11"/>
  <c r="AG35" i="11"/>
  <c r="AF35" i="11"/>
  <c r="AE35" i="11"/>
  <c r="AD35" i="11"/>
  <c r="AC35" i="11"/>
  <c r="N35" i="11"/>
  <c r="B32" i="11"/>
  <c r="B31" i="11"/>
  <c r="B29" i="11"/>
  <c r="C27" i="11"/>
  <c r="C31" i="11" s="1"/>
  <c r="B27" i="11"/>
  <c r="Z26" i="11"/>
  <c r="B25" i="11"/>
  <c r="B24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C19" i="11"/>
  <c r="D15" i="11"/>
  <c r="D39" i="11" s="1"/>
  <c r="AJ9" i="11"/>
  <c r="AJ6" i="11"/>
  <c r="C6" i="11"/>
  <c r="D5" i="11"/>
  <c r="D24" i="11" s="1"/>
  <c r="D26" i="11" s="1"/>
  <c r="C5" i="11"/>
  <c r="C24" i="11" s="1"/>
  <c r="C26" i="11" s="1"/>
  <c r="D4" i="11"/>
  <c r="C4" i="11"/>
  <c r="C7" i="11" s="1"/>
  <c r="D3" i="11"/>
  <c r="AH47" i="10"/>
  <c r="AG47" i="10"/>
  <c r="AF47" i="10"/>
  <c r="AE47" i="10"/>
  <c r="AD47" i="10"/>
  <c r="AC47" i="10"/>
  <c r="AB47" i="10"/>
  <c r="AA47" i="10"/>
  <c r="Z47" i="10"/>
  <c r="N47" i="10"/>
  <c r="B40" i="10"/>
  <c r="B41" i="10" s="1"/>
  <c r="C39" i="10"/>
  <c r="AH35" i="10"/>
  <c r="AG35" i="10"/>
  <c r="AF35" i="10"/>
  <c r="AE35" i="10"/>
  <c r="AD35" i="10"/>
  <c r="AC35" i="10"/>
  <c r="N35" i="10"/>
  <c r="B32" i="10"/>
  <c r="B31" i="10"/>
  <c r="B29" i="10"/>
  <c r="B27" i="10"/>
  <c r="Z26" i="10"/>
  <c r="B25" i="10"/>
  <c r="B24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C19" i="10"/>
  <c r="D15" i="10"/>
  <c r="D39" i="10" s="1"/>
  <c r="AJ9" i="10"/>
  <c r="AJ6" i="10"/>
  <c r="C6" i="10"/>
  <c r="D5" i="10"/>
  <c r="D24" i="10" s="1"/>
  <c r="D26" i="10" s="1"/>
  <c r="C5" i="10"/>
  <c r="C24" i="10" s="1"/>
  <c r="D4" i="10"/>
  <c r="C4" i="10"/>
  <c r="C7" i="10" s="1"/>
  <c r="D3" i="10"/>
  <c r="D19" i="10" s="1"/>
  <c r="N35" i="9"/>
  <c r="AC35" i="9"/>
  <c r="AD35" i="9"/>
  <c r="AE35" i="9"/>
  <c r="AF35" i="9"/>
  <c r="AG35" i="9"/>
  <c r="AH35" i="9"/>
  <c r="C35" i="9"/>
  <c r="C27" i="9"/>
  <c r="C29" i="9"/>
  <c r="C32" i="9" s="1"/>
  <c r="C26" i="9"/>
  <c r="D26" i="9"/>
  <c r="E26" i="9"/>
  <c r="F26" i="9"/>
  <c r="G26" i="9"/>
  <c r="H26" i="9"/>
  <c r="I26" i="9"/>
  <c r="J26" i="9"/>
  <c r="K26" i="9"/>
  <c r="L26" i="9"/>
  <c r="M26" i="9"/>
  <c r="G3" i="12" l="1"/>
  <c r="F6" i="12"/>
  <c r="F5" i="12"/>
  <c r="F24" i="12" s="1"/>
  <c r="F26" i="12" s="1"/>
  <c r="E6" i="12"/>
  <c r="C25" i="12"/>
  <c r="O24" i="12"/>
  <c r="O25" i="12" s="1"/>
  <c r="E4" i="12"/>
  <c r="C27" i="12"/>
  <c r="C31" i="12" s="1"/>
  <c r="C26" i="12"/>
  <c r="C67" i="12"/>
  <c r="C37" i="12"/>
  <c r="C11" i="12"/>
  <c r="C12" i="12"/>
  <c r="C23" i="12"/>
  <c r="C8" i="12"/>
  <c r="C9" i="12" s="1"/>
  <c r="C52" i="12"/>
  <c r="D6" i="12"/>
  <c r="D5" i="12"/>
  <c r="D24" i="12" s="1"/>
  <c r="D26" i="12" s="1"/>
  <c r="D4" i="12"/>
  <c r="D7" i="12"/>
  <c r="D19" i="12"/>
  <c r="F4" i="12"/>
  <c r="F7" i="12" s="1"/>
  <c r="E5" i="12"/>
  <c r="E24" i="12" s="1"/>
  <c r="E26" i="12" s="1"/>
  <c r="E15" i="12"/>
  <c r="E19" i="12" s="1"/>
  <c r="D31" i="11"/>
  <c r="D27" i="11"/>
  <c r="C36" i="11"/>
  <c r="C23" i="11"/>
  <c r="C12" i="11"/>
  <c r="C11" i="11"/>
  <c r="C13" i="11" s="1"/>
  <c r="C8" i="11"/>
  <c r="C9" i="11" s="1"/>
  <c r="D19" i="11"/>
  <c r="C25" i="11"/>
  <c r="O24" i="11"/>
  <c r="O25" i="11" s="1"/>
  <c r="E15" i="11"/>
  <c r="E3" i="11"/>
  <c r="D6" i="11"/>
  <c r="D7" i="11"/>
  <c r="C36" i="10"/>
  <c r="C12" i="10"/>
  <c r="C23" i="10"/>
  <c r="C8" i="10"/>
  <c r="C9" i="10" s="1"/>
  <c r="C11" i="10"/>
  <c r="C27" i="10"/>
  <c r="C31" i="10" s="1"/>
  <c r="C26" i="10"/>
  <c r="C25" i="10"/>
  <c r="O24" i="10"/>
  <c r="E15" i="10"/>
  <c r="E3" i="10"/>
  <c r="D6" i="10"/>
  <c r="D7" i="10"/>
  <c r="E7" i="12" l="1"/>
  <c r="C13" i="12"/>
  <c r="C16" i="12" s="1"/>
  <c r="C17" i="12" s="1"/>
  <c r="F67" i="12"/>
  <c r="F52" i="12"/>
  <c r="F37" i="12"/>
  <c r="F11" i="12"/>
  <c r="F12" i="12"/>
  <c r="F23" i="12"/>
  <c r="F8" i="12"/>
  <c r="F9" i="12" s="1"/>
  <c r="C71" i="12"/>
  <c r="C72" i="12" s="1"/>
  <c r="C77" i="12" s="1"/>
  <c r="D25" i="12"/>
  <c r="D28" i="12" s="1"/>
  <c r="P24" i="12"/>
  <c r="P26" i="12" s="1"/>
  <c r="Q26" i="12" s="1"/>
  <c r="D27" i="12"/>
  <c r="D31" i="12" s="1"/>
  <c r="F27" i="12"/>
  <c r="E27" i="12"/>
  <c r="O41" i="12"/>
  <c r="P25" i="12"/>
  <c r="E40" i="12"/>
  <c r="E70" i="12" s="1"/>
  <c r="E55" i="12" s="1"/>
  <c r="F15" i="12"/>
  <c r="D52" i="12"/>
  <c r="D37" i="12"/>
  <c r="D67" i="12"/>
  <c r="D12" i="12"/>
  <c r="D23" i="12"/>
  <c r="D8" i="12"/>
  <c r="D9" i="12" s="1"/>
  <c r="D11" i="12"/>
  <c r="C28" i="12"/>
  <c r="C29" i="12"/>
  <c r="C32" i="12" s="1"/>
  <c r="E52" i="12"/>
  <c r="E67" i="12"/>
  <c r="E37" i="12"/>
  <c r="E23" i="12"/>
  <c r="E8" i="12"/>
  <c r="E9" i="12" s="1"/>
  <c r="E11" i="12"/>
  <c r="E12" i="12"/>
  <c r="E25" i="12"/>
  <c r="E28" i="12" s="1"/>
  <c r="Q24" i="12"/>
  <c r="Q27" i="12" s="1"/>
  <c r="R27" i="12" s="1"/>
  <c r="F25" i="12"/>
  <c r="F28" i="12" s="1"/>
  <c r="R24" i="12"/>
  <c r="R28" i="12" s="1"/>
  <c r="S28" i="12" s="1"/>
  <c r="C66" i="12"/>
  <c r="C68" i="12" s="1"/>
  <c r="H3" i="12"/>
  <c r="G6" i="12"/>
  <c r="G5" i="12"/>
  <c r="G24" i="12" s="1"/>
  <c r="G26" i="12" s="1"/>
  <c r="G4" i="12"/>
  <c r="E6" i="11"/>
  <c r="E19" i="11"/>
  <c r="E4" i="11"/>
  <c r="E7" i="11" s="1"/>
  <c r="E5" i="11"/>
  <c r="E24" i="11" s="1"/>
  <c r="E26" i="11" s="1"/>
  <c r="F3" i="11"/>
  <c r="E39" i="11"/>
  <c r="F15" i="11"/>
  <c r="D36" i="11"/>
  <c r="D23" i="11"/>
  <c r="D8" i="11"/>
  <c r="D9" i="11" s="1"/>
  <c r="D12" i="11"/>
  <c r="D11" i="11"/>
  <c r="D13" i="11" s="1"/>
  <c r="C32" i="11"/>
  <c r="C29" i="11"/>
  <c r="C28" i="11"/>
  <c r="C35" i="11"/>
  <c r="C37" i="11" s="1"/>
  <c r="P24" i="11"/>
  <c r="P26" i="11" s="1"/>
  <c r="Q26" i="11" s="1"/>
  <c r="D25" i="11"/>
  <c r="D28" i="11" s="1"/>
  <c r="P25" i="11"/>
  <c r="O35" i="11"/>
  <c r="O40" i="11" s="1"/>
  <c r="C16" i="11"/>
  <c r="C17" i="11" s="1"/>
  <c r="C18" i="11"/>
  <c r="C29" i="10"/>
  <c r="C32" i="10" s="1"/>
  <c r="C28" i="10"/>
  <c r="E19" i="10"/>
  <c r="E4" i="10"/>
  <c r="E7" i="10" s="1"/>
  <c r="E5" i="10"/>
  <c r="E24" i="10" s="1"/>
  <c r="E26" i="10" s="1"/>
  <c r="E6" i="10"/>
  <c r="F3" i="10"/>
  <c r="D36" i="10"/>
  <c r="D23" i="10"/>
  <c r="D8" i="10"/>
  <c r="D11" i="10"/>
  <c r="D13" i="10" s="1"/>
  <c r="D9" i="10"/>
  <c r="D12" i="10"/>
  <c r="D25" i="10"/>
  <c r="D28" i="10" s="1"/>
  <c r="P24" i="10"/>
  <c r="E39" i="10"/>
  <c r="F15" i="10"/>
  <c r="E27" i="10"/>
  <c r="D27" i="10"/>
  <c r="C13" i="10"/>
  <c r="O25" i="10"/>
  <c r="D31" i="10"/>
  <c r="C18" i="12" l="1"/>
  <c r="C36" i="12"/>
  <c r="C51" i="12"/>
  <c r="C53" i="12" s="1"/>
  <c r="C61" i="12" s="1"/>
  <c r="G7" i="12"/>
  <c r="G12" i="12" s="1"/>
  <c r="P41" i="12"/>
  <c r="P48" i="12" s="1"/>
  <c r="D13" i="12"/>
  <c r="D18" i="12" s="1"/>
  <c r="G52" i="12"/>
  <c r="G37" i="12"/>
  <c r="G11" i="12"/>
  <c r="G23" i="12"/>
  <c r="G8" i="12"/>
  <c r="G9" i="12" s="1"/>
  <c r="D71" i="12"/>
  <c r="D72" i="12" s="1"/>
  <c r="D77" i="12" s="1"/>
  <c r="E31" i="12"/>
  <c r="C56" i="12"/>
  <c r="C57" i="12" s="1"/>
  <c r="C62" i="12" s="1"/>
  <c r="C33" i="12"/>
  <c r="C41" i="12" s="1"/>
  <c r="C42" i="12" s="1"/>
  <c r="C47" i="12" s="1"/>
  <c r="C76" i="12"/>
  <c r="C74" i="12"/>
  <c r="C75" i="12" s="1"/>
  <c r="T28" i="12"/>
  <c r="F29" i="12"/>
  <c r="F36" i="12" s="1"/>
  <c r="F38" i="12" s="1"/>
  <c r="G27" i="12"/>
  <c r="F66" i="12"/>
  <c r="F68" i="12" s="1"/>
  <c r="G25" i="12"/>
  <c r="G28" i="12" s="1"/>
  <c r="G29" i="12" s="1"/>
  <c r="S24" i="12"/>
  <c r="S29" i="12" s="1"/>
  <c r="T29" i="12" s="1"/>
  <c r="U29" i="12" s="1"/>
  <c r="V29" i="12" s="1"/>
  <c r="W29" i="12" s="1"/>
  <c r="X29" i="12" s="1"/>
  <c r="Y29" i="12" s="1"/>
  <c r="Z29" i="12" s="1"/>
  <c r="AA29" i="12" s="1"/>
  <c r="AB29" i="12" s="1"/>
  <c r="R41" i="12"/>
  <c r="E66" i="12"/>
  <c r="E68" i="12" s="1"/>
  <c r="D66" i="12"/>
  <c r="D68" i="12" s="1"/>
  <c r="O48" i="12"/>
  <c r="O42" i="12"/>
  <c r="H6" i="12"/>
  <c r="H5" i="12"/>
  <c r="H24" i="12" s="1"/>
  <c r="H26" i="12" s="1"/>
  <c r="H4" i="12"/>
  <c r="I3" i="12"/>
  <c r="E13" i="12"/>
  <c r="E29" i="12"/>
  <c r="E51" i="12" s="1"/>
  <c r="E53" i="12" s="1"/>
  <c r="D29" i="12"/>
  <c r="D32" i="12" s="1"/>
  <c r="D20" i="12"/>
  <c r="F40" i="12"/>
  <c r="F70" i="12" s="1"/>
  <c r="F55" i="12" s="1"/>
  <c r="G15" i="12"/>
  <c r="F19" i="12"/>
  <c r="Q41" i="12"/>
  <c r="F13" i="12"/>
  <c r="C35" i="10"/>
  <c r="C37" i="10" s="1"/>
  <c r="E27" i="11"/>
  <c r="E31" i="11" s="1"/>
  <c r="E36" i="11"/>
  <c r="E8" i="11"/>
  <c r="E11" i="11"/>
  <c r="E9" i="11"/>
  <c r="E12" i="11"/>
  <c r="E23" i="11"/>
  <c r="P35" i="11"/>
  <c r="P40" i="11" s="1"/>
  <c r="C45" i="11"/>
  <c r="F19" i="11"/>
  <c r="F4" i="11"/>
  <c r="F7" i="11" s="1"/>
  <c r="F5" i="11"/>
  <c r="F24" i="11" s="1"/>
  <c r="F26" i="11" s="1"/>
  <c r="F6" i="11"/>
  <c r="G3" i="11"/>
  <c r="O41" i="11"/>
  <c r="O47" i="11"/>
  <c r="D29" i="11"/>
  <c r="D32" i="11" s="1"/>
  <c r="E29" i="11"/>
  <c r="D20" i="11"/>
  <c r="D18" i="11"/>
  <c r="D16" i="11"/>
  <c r="D17" i="11" s="1"/>
  <c r="E25" i="11"/>
  <c r="E28" i="11" s="1"/>
  <c r="Q24" i="11"/>
  <c r="Q27" i="11" s="1"/>
  <c r="C33" i="11"/>
  <c r="C40" i="11" s="1"/>
  <c r="C41" i="11" s="1"/>
  <c r="C46" i="11" s="1"/>
  <c r="F39" i="11"/>
  <c r="G15" i="11"/>
  <c r="E36" i="10"/>
  <c r="E8" i="10"/>
  <c r="E11" i="10"/>
  <c r="E9" i="10"/>
  <c r="E12" i="10"/>
  <c r="E23" i="10"/>
  <c r="P25" i="10"/>
  <c r="D29" i="10"/>
  <c r="P35" i="10"/>
  <c r="P26" i="10"/>
  <c r="Q26" i="10" s="1"/>
  <c r="D20" i="10"/>
  <c r="D18" i="10"/>
  <c r="D16" i="10"/>
  <c r="D17" i="10" s="1"/>
  <c r="F19" i="10"/>
  <c r="F4" i="10"/>
  <c r="F7" i="10" s="1"/>
  <c r="F5" i="10"/>
  <c r="F24" i="10" s="1"/>
  <c r="F26" i="10" s="1"/>
  <c r="F6" i="10"/>
  <c r="G3" i="10"/>
  <c r="D32" i="10"/>
  <c r="C33" i="10"/>
  <c r="C40" i="10" s="1"/>
  <c r="C41" i="10" s="1"/>
  <c r="C46" i="10" s="1"/>
  <c r="C16" i="10"/>
  <c r="C17" i="10" s="1"/>
  <c r="C18" i="10"/>
  <c r="E25" i="10"/>
  <c r="E28" i="10" s="1"/>
  <c r="E29" i="10" s="1"/>
  <c r="Q24" i="10"/>
  <c r="O35" i="10"/>
  <c r="O40" i="10" s="1"/>
  <c r="E31" i="10"/>
  <c r="F39" i="10"/>
  <c r="G15" i="10"/>
  <c r="D35" i="10"/>
  <c r="D37" i="10" s="1"/>
  <c r="C45" i="10"/>
  <c r="C38" i="12" l="1"/>
  <c r="C46" i="12" s="1"/>
  <c r="D16" i="12"/>
  <c r="D17" i="12" s="1"/>
  <c r="H7" i="12"/>
  <c r="H67" i="12" s="1"/>
  <c r="F51" i="12"/>
  <c r="F53" i="12" s="1"/>
  <c r="F61" i="12" s="1"/>
  <c r="G67" i="12"/>
  <c r="D56" i="12"/>
  <c r="D57" i="12" s="1"/>
  <c r="D62" i="12" s="1"/>
  <c r="E32" i="12"/>
  <c r="E33" i="12" s="1"/>
  <c r="E41" i="12" s="1"/>
  <c r="E42" i="12" s="1"/>
  <c r="E47" i="12" s="1"/>
  <c r="D33" i="12"/>
  <c r="D41" i="12" s="1"/>
  <c r="D42" i="12" s="1"/>
  <c r="D47" i="12" s="1"/>
  <c r="E61" i="12"/>
  <c r="H52" i="12"/>
  <c r="H37" i="12"/>
  <c r="H12" i="12"/>
  <c r="H23" i="12"/>
  <c r="H8" i="12"/>
  <c r="H9" i="12" s="1"/>
  <c r="H11" i="12"/>
  <c r="E20" i="12"/>
  <c r="E18" i="12"/>
  <c r="E16" i="12"/>
  <c r="E17" i="12" s="1"/>
  <c r="D51" i="12"/>
  <c r="D53" i="12" s="1"/>
  <c r="R42" i="12"/>
  <c r="R48" i="12"/>
  <c r="Q42" i="12"/>
  <c r="Q48" i="12"/>
  <c r="I6" i="12"/>
  <c r="I5" i="12"/>
  <c r="I24" i="12" s="1"/>
  <c r="I26" i="12" s="1"/>
  <c r="J3" i="12"/>
  <c r="I4" i="12"/>
  <c r="E76" i="12"/>
  <c r="G40" i="12"/>
  <c r="G70" i="12" s="1"/>
  <c r="G55" i="12" s="1"/>
  <c r="H15" i="12"/>
  <c r="G19" i="12"/>
  <c r="H25" i="12"/>
  <c r="H28" i="12" s="1"/>
  <c r="H29" i="12" s="1"/>
  <c r="T24" i="12"/>
  <c r="T30" i="12" s="1"/>
  <c r="U30" i="12" s="1"/>
  <c r="V30" i="12" s="1"/>
  <c r="W30" i="12" s="1"/>
  <c r="X30" i="12" s="1"/>
  <c r="Y30" i="12" s="1"/>
  <c r="Z30" i="12" s="1"/>
  <c r="AA30" i="12" s="1"/>
  <c r="AB30" i="12" s="1"/>
  <c r="AC30" i="12" s="1"/>
  <c r="E36" i="12"/>
  <c r="E38" i="12" s="1"/>
  <c r="P42" i="12"/>
  <c r="U28" i="12"/>
  <c r="F31" i="12"/>
  <c r="E71" i="12"/>
  <c r="E72" i="12" s="1"/>
  <c r="E77" i="12" s="1"/>
  <c r="G13" i="12"/>
  <c r="D74" i="12"/>
  <c r="D75" i="12" s="1"/>
  <c r="D76" i="12"/>
  <c r="D78" i="12"/>
  <c r="F76" i="12"/>
  <c r="F18" i="12"/>
  <c r="F16" i="12"/>
  <c r="F17" i="12" s="1"/>
  <c r="F20" i="12"/>
  <c r="H27" i="12"/>
  <c r="D36" i="12"/>
  <c r="D38" i="12" s="1"/>
  <c r="C59" i="12"/>
  <c r="C60" i="12" s="1"/>
  <c r="F46" i="12"/>
  <c r="S41" i="12"/>
  <c r="G51" i="12"/>
  <c r="G53" i="12" s="1"/>
  <c r="G36" i="12"/>
  <c r="G38" i="12" s="1"/>
  <c r="G66" i="12"/>
  <c r="G68" i="12" s="1"/>
  <c r="E32" i="10"/>
  <c r="C43" i="10"/>
  <c r="C44" i="10" s="1"/>
  <c r="G27" i="11"/>
  <c r="D35" i="11"/>
  <c r="D37" i="11" s="1"/>
  <c r="D45" i="11" s="1"/>
  <c r="C43" i="11"/>
  <c r="C44" i="11" s="1"/>
  <c r="F27" i="11"/>
  <c r="F31" i="11" s="1"/>
  <c r="G31" i="11" s="1"/>
  <c r="F23" i="11"/>
  <c r="F36" i="11"/>
  <c r="F11" i="11"/>
  <c r="F9" i="11"/>
  <c r="F12" i="11"/>
  <c r="F8" i="11"/>
  <c r="R27" i="11"/>
  <c r="Q35" i="11"/>
  <c r="Q40" i="11" s="1"/>
  <c r="F25" i="11"/>
  <c r="F28" i="11" s="1"/>
  <c r="R24" i="11"/>
  <c r="R28" i="11" s="1"/>
  <c r="S28" i="11" s="1"/>
  <c r="E13" i="11"/>
  <c r="G5" i="11"/>
  <c r="G24" i="11" s="1"/>
  <c r="G26" i="11" s="1"/>
  <c r="G19" i="11"/>
  <c r="G6" i="11"/>
  <c r="H3" i="11"/>
  <c r="G4" i="11"/>
  <c r="G7" i="11" s="1"/>
  <c r="G39" i="11"/>
  <c r="H15" i="11"/>
  <c r="D33" i="11"/>
  <c r="D40" i="11" s="1"/>
  <c r="D41" i="11" s="1"/>
  <c r="D46" i="11" s="1"/>
  <c r="E32" i="11"/>
  <c r="P41" i="11"/>
  <c r="P47" i="11"/>
  <c r="E35" i="11"/>
  <c r="E37" i="11" s="1"/>
  <c r="F36" i="10"/>
  <c r="F11" i="10"/>
  <c r="F13" i="10" s="1"/>
  <c r="F12" i="10"/>
  <c r="F23" i="10"/>
  <c r="F8" i="10"/>
  <c r="F9" i="10" s="1"/>
  <c r="O41" i="10"/>
  <c r="O47" i="10"/>
  <c r="Q27" i="10"/>
  <c r="R27" i="10" s="1"/>
  <c r="Q35" i="10"/>
  <c r="Q40" i="10" s="1"/>
  <c r="G5" i="10"/>
  <c r="G24" i="10" s="1"/>
  <c r="G26" i="10" s="1"/>
  <c r="G6" i="10"/>
  <c r="H3" i="10"/>
  <c r="G19" i="10"/>
  <c r="G4" i="10"/>
  <c r="G7" i="10" s="1"/>
  <c r="P40" i="10"/>
  <c r="E33" i="10"/>
  <c r="E40" i="10" s="1"/>
  <c r="E41" i="10" s="1"/>
  <c r="E46" i="10" s="1"/>
  <c r="F25" i="10"/>
  <c r="F28" i="10" s="1"/>
  <c r="R24" i="10"/>
  <c r="E13" i="10"/>
  <c r="D45" i="10"/>
  <c r="D33" i="10"/>
  <c r="D40" i="10" s="1"/>
  <c r="D41" i="10" s="1"/>
  <c r="D46" i="10" s="1"/>
  <c r="E35" i="10"/>
  <c r="E37" i="10" s="1"/>
  <c r="G39" i="10"/>
  <c r="H15" i="10"/>
  <c r="F27" i="10"/>
  <c r="F31" i="10" s="1"/>
  <c r="C44" i="12" l="1"/>
  <c r="C45" i="12" s="1"/>
  <c r="T41" i="12"/>
  <c r="T48" i="12" s="1"/>
  <c r="H13" i="12"/>
  <c r="H20" i="12" s="1"/>
  <c r="E74" i="12"/>
  <c r="E75" i="12" s="1"/>
  <c r="H51" i="12"/>
  <c r="H53" i="12" s="1"/>
  <c r="H66" i="12"/>
  <c r="H68" i="12" s="1"/>
  <c r="H36" i="12"/>
  <c r="H38" i="12" s="1"/>
  <c r="G76" i="12"/>
  <c r="D48" i="12"/>
  <c r="D46" i="12"/>
  <c r="D44" i="12"/>
  <c r="D45" i="12" s="1"/>
  <c r="E78" i="12"/>
  <c r="I27" i="12"/>
  <c r="I7" i="12"/>
  <c r="G46" i="12"/>
  <c r="E46" i="12"/>
  <c r="E44" i="12"/>
  <c r="E45" i="12" s="1"/>
  <c r="E48" i="12"/>
  <c r="I25" i="12"/>
  <c r="I28" i="12" s="1"/>
  <c r="U24" i="12"/>
  <c r="U31" i="12" s="1"/>
  <c r="V31" i="12" s="1"/>
  <c r="W31" i="12" s="1"/>
  <c r="X31" i="12" s="1"/>
  <c r="Y31" i="12" s="1"/>
  <c r="Z31" i="12" s="1"/>
  <c r="AA31" i="12" s="1"/>
  <c r="AB31" i="12" s="1"/>
  <c r="AC31" i="12" s="1"/>
  <c r="AD31" i="12" s="1"/>
  <c r="D63" i="12"/>
  <c r="D59" i="12"/>
  <c r="D60" i="12" s="1"/>
  <c r="D61" i="12"/>
  <c r="G61" i="12"/>
  <c r="E56" i="12"/>
  <c r="E57" i="12" s="1"/>
  <c r="F32" i="12"/>
  <c r="F33" i="12" s="1"/>
  <c r="F41" i="12" s="1"/>
  <c r="F42" i="12" s="1"/>
  <c r="F71" i="12"/>
  <c r="F72" i="12" s="1"/>
  <c r="G31" i="12"/>
  <c r="H40" i="12"/>
  <c r="H70" i="12" s="1"/>
  <c r="H55" i="12" s="1"/>
  <c r="I15" i="12"/>
  <c r="H19" i="12"/>
  <c r="S48" i="12"/>
  <c r="S42" i="12"/>
  <c r="G16" i="12"/>
  <c r="G17" i="12" s="1"/>
  <c r="G20" i="12"/>
  <c r="G18" i="12"/>
  <c r="V28" i="12"/>
  <c r="K3" i="12"/>
  <c r="J6" i="12"/>
  <c r="J5" i="12"/>
  <c r="J24" i="12" s="1"/>
  <c r="J26" i="12" s="1"/>
  <c r="J27" i="12" s="1"/>
  <c r="J4" i="12"/>
  <c r="Q47" i="11"/>
  <c r="Q41" i="11"/>
  <c r="G36" i="11"/>
  <c r="G12" i="11"/>
  <c r="G23" i="11"/>
  <c r="G8" i="11"/>
  <c r="G9" i="11" s="1"/>
  <c r="G11" i="11"/>
  <c r="G13" i="11" s="1"/>
  <c r="H39" i="11"/>
  <c r="I15" i="11"/>
  <c r="E18" i="11"/>
  <c r="E20" i="11"/>
  <c r="E16" i="11"/>
  <c r="E17" i="11" s="1"/>
  <c r="R35" i="11"/>
  <c r="R40" i="11" s="1"/>
  <c r="F13" i="11"/>
  <c r="G25" i="11"/>
  <c r="G28" i="11" s="1"/>
  <c r="S24" i="11"/>
  <c r="S29" i="11" s="1"/>
  <c r="E33" i="11"/>
  <c r="E40" i="11" s="1"/>
  <c r="E41" i="11" s="1"/>
  <c r="E46" i="11" s="1"/>
  <c r="T28" i="11"/>
  <c r="D47" i="11"/>
  <c r="E45" i="11"/>
  <c r="H6" i="11"/>
  <c r="I3" i="11"/>
  <c r="H5" i="11"/>
  <c r="H24" i="11" s="1"/>
  <c r="H26" i="11" s="1"/>
  <c r="H19" i="11"/>
  <c r="H4" i="11"/>
  <c r="H7" i="11" s="1"/>
  <c r="F29" i="11"/>
  <c r="F32" i="11" s="1"/>
  <c r="D43" i="11"/>
  <c r="D44" i="11" s="1"/>
  <c r="G36" i="10"/>
  <c r="G12" i="10"/>
  <c r="G23" i="10"/>
  <c r="G8" i="10"/>
  <c r="G9" i="10" s="1"/>
  <c r="G11" i="10"/>
  <c r="G13" i="10" s="1"/>
  <c r="R28" i="10"/>
  <c r="S28" i="10" s="1"/>
  <c r="R35" i="10"/>
  <c r="H6" i="10"/>
  <c r="I3" i="10"/>
  <c r="H19" i="10"/>
  <c r="H4" i="10"/>
  <c r="H7" i="10" s="1"/>
  <c r="H5" i="10"/>
  <c r="H24" i="10" s="1"/>
  <c r="H26" i="10" s="1"/>
  <c r="E43" i="10"/>
  <c r="E44" i="10" s="1"/>
  <c r="E47" i="10"/>
  <c r="E45" i="10"/>
  <c r="D47" i="10"/>
  <c r="F29" i="10"/>
  <c r="F32" i="10" s="1"/>
  <c r="F33" i="10" s="1"/>
  <c r="F40" i="10" s="1"/>
  <c r="F41" i="10" s="1"/>
  <c r="F46" i="10" s="1"/>
  <c r="P41" i="10"/>
  <c r="P47" i="10"/>
  <c r="G25" i="10"/>
  <c r="G28" i="10" s="1"/>
  <c r="S24" i="10"/>
  <c r="H39" i="10"/>
  <c r="I15" i="10"/>
  <c r="Q47" i="10"/>
  <c r="Q41" i="10"/>
  <c r="D43" i="10"/>
  <c r="D44" i="10" s="1"/>
  <c r="F16" i="10"/>
  <c r="F17" i="10" s="1"/>
  <c r="F20" i="10"/>
  <c r="F18" i="10"/>
  <c r="E18" i="10"/>
  <c r="E16" i="10"/>
  <c r="E17" i="10" s="1"/>
  <c r="E20" i="10"/>
  <c r="G27" i="10"/>
  <c r="G31" i="10" s="1"/>
  <c r="H16" i="12" l="1"/>
  <c r="H17" i="12" s="1"/>
  <c r="H18" i="12"/>
  <c r="J7" i="12"/>
  <c r="T42" i="12"/>
  <c r="U41" i="12"/>
  <c r="U48" i="12" s="1"/>
  <c r="J67" i="12"/>
  <c r="J52" i="12"/>
  <c r="J11" i="12"/>
  <c r="J12" i="12"/>
  <c r="J37" i="12"/>
  <c r="J23" i="12"/>
  <c r="J8" i="12"/>
  <c r="J9" i="12" s="1"/>
  <c r="H46" i="12"/>
  <c r="L3" i="12"/>
  <c r="K6" i="12"/>
  <c r="K5" i="12"/>
  <c r="K24" i="12" s="1"/>
  <c r="K26" i="12" s="1"/>
  <c r="K4" i="12"/>
  <c r="G71" i="12"/>
  <c r="G72" i="12" s="1"/>
  <c r="H31" i="12"/>
  <c r="E62" i="12"/>
  <c r="E59" i="12"/>
  <c r="E60" i="12" s="1"/>
  <c r="E63" i="12"/>
  <c r="I29" i="12"/>
  <c r="K27" i="12"/>
  <c r="W28" i="12"/>
  <c r="I40" i="12"/>
  <c r="I70" i="12" s="1"/>
  <c r="I55" i="12" s="1"/>
  <c r="J15" i="12"/>
  <c r="I19" i="12"/>
  <c r="F47" i="12"/>
  <c r="F44" i="12"/>
  <c r="F45" i="12" s="1"/>
  <c r="F48" i="12"/>
  <c r="H76" i="12"/>
  <c r="F77" i="12"/>
  <c r="F78" i="12"/>
  <c r="F74" i="12"/>
  <c r="F75" i="12" s="1"/>
  <c r="J25" i="12"/>
  <c r="J28" i="12" s="1"/>
  <c r="V24" i="12"/>
  <c r="V32" i="12" s="1"/>
  <c r="W32" i="12" s="1"/>
  <c r="X32" i="12" s="1"/>
  <c r="Y32" i="12" s="1"/>
  <c r="Z32" i="12" s="1"/>
  <c r="AA32" i="12" s="1"/>
  <c r="AB32" i="12" s="1"/>
  <c r="AC32" i="12" s="1"/>
  <c r="AD32" i="12" s="1"/>
  <c r="AE32" i="12" s="1"/>
  <c r="F56" i="12"/>
  <c r="F57" i="12" s="1"/>
  <c r="G32" i="12"/>
  <c r="I52" i="12"/>
  <c r="I67" i="12"/>
  <c r="I37" i="12"/>
  <c r="I23" i="12"/>
  <c r="I8" i="12"/>
  <c r="I9" i="12" s="1"/>
  <c r="I11" i="12"/>
  <c r="I12" i="12"/>
  <c r="H61" i="12"/>
  <c r="F35" i="10"/>
  <c r="F37" i="10" s="1"/>
  <c r="R40" i="10"/>
  <c r="E43" i="11"/>
  <c r="E44" i="11" s="1"/>
  <c r="E47" i="11"/>
  <c r="H27" i="11"/>
  <c r="H31" i="11" s="1"/>
  <c r="I27" i="11"/>
  <c r="F33" i="11"/>
  <c r="F40" i="11" s="1"/>
  <c r="F41" i="11" s="1"/>
  <c r="F46" i="11" s="1"/>
  <c r="H36" i="11"/>
  <c r="H23" i="11"/>
  <c r="H12" i="11"/>
  <c r="H8" i="11"/>
  <c r="H11" i="11"/>
  <c r="H9" i="11"/>
  <c r="S35" i="11"/>
  <c r="S40" i="11" s="1"/>
  <c r="S47" i="11" s="1"/>
  <c r="T29" i="11"/>
  <c r="I39" i="11"/>
  <c r="J15" i="11"/>
  <c r="F35" i="11"/>
  <c r="F37" i="11" s="1"/>
  <c r="H25" i="11"/>
  <c r="H28" i="11" s="1"/>
  <c r="T24" i="11"/>
  <c r="T30" i="11" s="1"/>
  <c r="U30" i="11" s="1"/>
  <c r="V30" i="11" s="1"/>
  <c r="W30" i="11" s="1"/>
  <c r="X30" i="11" s="1"/>
  <c r="Y30" i="11" s="1"/>
  <c r="Z30" i="11" s="1"/>
  <c r="AA30" i="11" s="1"/>
  <c r="AB30" i="11" s="1"/>
  <c r="AC30" i="11" s="1"/>
  <c r="G29" i="11"/>
  <c r="G32" i="11" s="1"/>
  <c r="I19" i="11"/>
  <c r="I4" i="11"/>
  <c r="I6" i="11"/>
  <c r="I5" i="11"/>
  <c r="I24" i="11" s="1"/>
  <c r="I26" i="11" s="1"/>
  <c r="J3" i="11"/>
  <c r="U28" i="11"/>
  <c r="R47" i="11"/>
  <c r="R41" i="11"/>
  <c r="F20" i="11"/>
  <c r="F18" i="11"/>
  <c r="F16" i="11"/>
  <c r="F17" i="11" s="1"/>
  <c r="G20" i="11"/>
  <c r="G16" i="11"/>
  <c r="G17" i="11" s="1"/>
  <c r="G18" i="11"/>
  <c r="H36" i="10"/>
  <c r="H23" i="10"/>
  <c r="H8" i="10"/>
  <c r="H9" i="10" s="1"/>
  <c r="H11" i="10"/>
  <c r="H12" i="10"/>
  <c r="R47" i="10"/>
  <c r="R41" i="10"/>
  <c r="I39" i="10"/>
  <c r="J15" i="10"/>
  <c r="H27" i="10"/>
  <c r="H31" i="10" s="1"/>
  <c r="H25" i="10"/>
  <c r="H28" i="10" s="1"/>
  <c r="H29" i="10" s="1"/>
  <c r="T24" i="10"/>
  <c r="T28" i="10"/>
  <c r="F47" i="10"/>
  <c r="F45" i="10"/>
  <c r="F43" i="10"/>
  <c r="F44" i="10" s="1"/>
  <c r="S29" i="10"/>
  <c r="T29" i="10" s="1"/>
  <c r="U29" i="10" s="1"/>
  <c r="V29" i="10" s="1"/>
  <c r="W29" i="10" s="1"/>
  <c r="X29" i="10" s="1"/>
  <c r="Y29" i="10" s="1"/>
  <c r="Z29" i="10" s="1"/>
  <c r="G16" i="10"/>
  <c r="G17" i="10" s="1"/>
  <c r="G20" i="10"/>
  <c r="G18" i="10"/>
  <c r="G29" i="10"/>
  <c r="G32" i="10" s="1"/>
  <c r="I19" i="10"/>
  <c r="I4" i="10"/>
  <c r="I7" i="10" s="1"/>
  <c r="I5" i="10"/>
  <c r="I24" i="10" s="1"/>
  <c r="I26" i="10" s="1"/>
  <c r="I6" i="10"/>
  <c r="J3" i="10"/>
  <c r="U42" i="12" l="1"/>
  <c r="K7" i="12"/>
  <c r="K37" i="12" s="1"/>
  <c r="I13" i="12"/>
  <c r="I16" i="12" s="1"/>
  <c r="I17" i="12" s="1"/>
  <c r="X28" i="12"/>
  <c r="H71" i="12"/>
  <c r="H72" i="12" s="1"/>
  <c r="I31" i="12"/>
  <c r="J66" i="12"/>
  <c r="J68" i="12" s="1"/>
  <c r="I66" i="12"/>
  <c r="I68" i="12" s="1"/>
  <c r="I51" i="12"/>
  <c r="I53" i="12" s="1"/>
  <c r="I36" i="12"/>
  <c r="I38" i="12" s="1"/>
  <c r="G56" i="12"/>
  <c r="G57" i="12" s="1"/>
  <c r="H32" i="12"/>
  <c r="J40" i="12"/>
  <c r="J70" i="12" s="1"/>
  <c r="J55" i="12" s="1"/>
  <c r="K15" i="12"/>
  <c r="J19" i="12"/>
  <c r="G33" i="12"/>
  <c r="G41" i="12" s="1"/>
  <c r="G42" i="12" s="1"/>
  <c r="F62" i="12"/>
  <c r="F59" i="12"/>
  <c r="F60" i="12" s="1"/>
  <c r="F63" i="12"/>
  <c r="J29" i="12"/>
  <c r="J51" i="12" s="1"/>
  <c r="J53" i="12" s="1"/>
  <c r="G77" i="12"/>
  <c r="G78" i="12"/>
  <c r="G74" i="12"/>
  <c r="G75" i="12" s="1"/>
  <c r="K25" i="12"/>
  <c r="K28" i="12" s="1"/>
  <c r="K29" i="12" s="1"/>
  <c r="W24" i="12"/>
  <c r="W33" i="12" s="1"/>
  <c r="X33" i="12" s="1"/>
  <c r="Y33" i="12" s="1"/>
  <c r="Z33" i="12" s="1"/>
  <c r="AA33" i="12" s="1"/>
  <c r="AB33" i="12" s="1"/>
  <c r="AC33" i="12" s="1"/>
  <c r="AD33" i="12" s="1"/>
  <c r="AE33" i="12" s="1"/>
  <c r="AF33" i="12" s="1"/>
  <c r="V41" i="12"/>
  <c r="L6" i="12"/>
  <c r="L5" i="12"/>
  <c r="L24" i="12" s="1"/>
  <c r="L26" i="12" s="1"/>
  <c r="L27" i="12" s="1"/>
  <c r="L4" i="12"/>
  <c r="M3" i="12"/>
  <c r="J13" i="12"/>
  <c r="S35" i="10"/>
  <c r="S40" i="10" s="1"/>
  <c r="I31" i="11"/>
  <c r="G33" i="11"/>
  <c r="G40" i="11" s="1"/>
  <c r="G41" i="11" s="1"/>
  <c r="G46" i="11" s="1"/>
  <c r="I25" i="11"/>
  <c r="I28" i="11" s="1"/>
  <c r="U24" i="11"/>
  <c r="U31" i="11" s="1"/>
  <c r="V31" i="11" s="1"/>
  <c r="W31" i="11" s="1"/>
  <c r="X31" i="11" s="1"/>
  <c r="Y31" i="11" s="1"/>
  <c r="Z31" i="11" s="1"/>
  <c r="AA31" i="11" s="1"/>
  <c r="AB31" i="11" s="1"/>
  <c r="AC31" i="11" s="1"/>
  <c r="AD31" i="11" s="1"/>
  <c r="G35" i="11"/>
  <c r="G37" i="11" s="1"/>
  <c r="S41" i="11"/>
  <c r="J39" i="11"/>
  <c r="K15" i="11"/>
  <c r="V28" i="11"/>
  <c r="J19" i="11"/>
  <c r="J4" i="11"/>
  <c r="J5" i="11"/>
  <c r="J24" i="11" s="1"/>
  <c r="J26" i="11" s="1"/>
  <c r="J6" i="11"/>
  <c r="K3" i="11"/>
  <c r="H13" i="11"/>
  <c r="F47" i="11"/>
  <c r="F45" i="11"/>
  <c r="F43" i="11"/>
  <c r="F44" i="11" s="1"/>
  <c r="I7" i="11"/>
  <c r="H29" i="11"/>
  <c r="H35" i="11" s="1"/>
  <c r="H37" i="11" s="1"/>
  <c r="T35" i="11"/>
  <c r="T40" i="11" s="1"/>
  <c r="U29" i="11"/>
  <c r="H32" i="10"/>
  <c r="H33" i="10" s="1"/>
  <c r="H40" i="10" s="1"/>
  <c r="H41" i="10" s="1"/>
  <c r="H46" i="10" s="1"/>
  <c r="G33" i="10"/>
  <c r="G40" i="10" s="1"/>
  <c r="G41" i="10" s="1"/>
  <c r="G46" i="10" s="1"/>
  <c r="I36" i="10"/>
  <c r="I8" i="10"/>
  <c r="I11" i="10"/>
  <c r="I13" i="10" s="1"/>
  <c r="I9" i="10"/>
  <c r="I12" i="10"/>
  <c r="I23" i="10"/>
  <c r="G35" i="10"/>
  <c r="G37" i="10" s="1"/>
  <c r="J39" i="10"/>
  <c r="K15" i="10"/>
  <c r="H13" i="10"/>
  <c r="J19" i="10"/>
  <c r="J4" i="10"/>
  <c r="J7" i="10" s="1"/>
  <c r="J5" i="10"/>
  <c r="J24" i="10" s="1"/>
  <c r="J26" i="10" s="1"/>
  <c r="J27" i="10" s="1"/>
  <c r="J6" i="10"/>
  <c r="K3" i="10"/>
  <c r="U28" i="10"/>
  <c r="I27" i="10"/>
  <c r="I31" i="10" s="1"/>
  <c r="I25" i="10"/>
  <c r="I28" i="10" s="1"/>
  <c r="U24" i="10"/>
  <c r="S41" i="10"/>
  <c r="S47" i="10"/>
  <c r="H35" i="10"/>
  <c r="H37" i="10" s="1"/>
  <c r="Z35" i="10"/>
  <c r="AA29" i="10"/>
  <c r="T35" i="10"/>
  <c r="T30" i="10"/>
  <c r="U30" i="10" s="1"/>
  <c r="V30" i="10" s="1"/>
  <c r="W30" i="10" s="1"/>
  <c r="X30" i="10" s="1"/>
  <c r="Y30" i="10" s="1"/>
  <c r="Z30" i="10" s="1"/>
  <c r="AA30" i="10" s="1"/>
  <c r="AB30" i="10" s="1"/>
  <c r="AC30" i="10" s="1"/>
  <c r="I18" i="12" l="1"/>
  <c r="I20" i="12"/>
  <c r="K11" i="12"/>
  <c r="K8" i="12"/>
  <c r="K9" i="12" s="1"/>
  <c r="K12" i="12"/>
  <c r="K13" i="12" s="1"/>
  <c r="K52" i="12"/>
  <c r="K67" i="12"/>
  <c r="K23" i="12"/>
  <c r="K36" i="12" s="1"/>
  <c r="K38" i="12" s="1"/>
  <c r="J61" i="12"/>
  <c r="L25" i="12"/>
  <c r="L28" i="12" s="1"/>
  <c r="L29" i="12" s="1"/>
  <c r="X24" i="12"/>
  <c r="X34" i="12" s="1"/>
  <c r="Y34" i="12" s="1"/>
  <c r="Z34" i="12" s="1"/>
  <c r="AA34" i="12" s="1"/>
  <c r="AB34" i="12" s="1"/>
  <c r="AC34" i="12" s="1"/>
  <c r="AD34" i="12" s="1"/>
  <c r="AE34" i="12" s="1"/>
  <c r="AF34" i="12" s="1"/>
  <c r="AG34" i="12" s="1"/>
  <c r="L7" i="12"/>
  <c r="V42" i="12"/>
  <c r="V48" i="12"/>
  <c r="K40" i="12"/>
  <c r="K70" i="12" s="1"/>
  <c r="K55" i="12" s="1"/>
  <c r="L15" i="12"/>
  <c r="K19" i="12"/>
  <c r="I46" i="12"/>
  <c r="J36" i="12"/>
  <c r="J38" i="12" s="1"/>
  <c r="H77" i="12"/>
  <c r="H78" i="12"/>
  <c r="H74" i="12"/>
  <c r="H75" i="12" s="1"/>
  <c r="J76" i="12"/>
  <c r="I71" i="12"/>
  <c r="I72" i="12" s="1"/>
  <c r="I77" i="12" s="1"/>
  <c r="J31" i="12"/>
  <c r="J18" i="12"/>
  <c r="J16" i="12"/>
  <c r="J17" i="12" s="1"/>
  <c r="J20" i="12"/>
  <c r="I61" i="12"/>
  <c r="W41" i="12"/>
  <c r="K51" i="12"/>
  <c r="K66" i="12"/>
  <c r="G62" i="12"/>
  <c r="G63" i="12"/>
  <c r="G59" i="12"/>
  <c r="G60" i="12" s="1"/>
  <c r="M6" i="12"/>
  <c r="M5" i="12"/>
  <c r="M24" i="12" s="1"/>
  <c r="M26" i="12" s="1"/>
  <c r="M27" i="12" s="1"/>
  <c r="M4" i="12"/>
  <c r="G47" i="12"/>
  <c r="G48" i="12"/>
  <c r="G44" i="12"/>
  <c r="G45" i="12" s="1"/>
  <c r="H56" i="12"/>
  <c r="H57" i="12" s="1"/>
  <c r="I32" i="12"/>
  <c r="I76" i="12"/>
  <c r="H33" i="12"/>
  <c r="H41" i="12" s="1"/>
  <c r="H42" i="12" s="1"/>
  <c r="Y28" i="12"/>
  <c r="T41" i="11"/>
  <c r="T47" i="11"/>
  <c r="J31" i="11"/>
  <c r="J27" i="11"/>
  <c r="H32" i="11"/>
  <c r="H45" i="11"/>
  <c r="U35" i="11"/>
  <c r="U40" i="11" s="1"/>
  <c r="V29" i="11"/>
  <c r="H20" i="11"/>
  <c r="H18" i="11"/>
  <c r="H16" i="11"/>
  <c r="H17" i="11" s="1"/>
  <c r="U47" i="11"/>
  <c r="K5" i="11"/>
  <c r="K24" i="11" s="1"/>
  <c r="K26" i="11" s="1"/>
  <c r="K27" i="11" s="1"/>
  <c r="K19" i="11"/>
  <c r="K6" i="11"/>
  <c r="L3" i="11"/>
  <c r="K4" i="11"/>
  <c r="W28" i="11"/>
  <c r="I36" i="11"/>
  <c r="I8" i="11"/>
  <c r="I23" i="11"/>
  <c r="I11" i="11"/>
  <c r="I13" i="11" s="1"/>
  <c r="I9" i="11"/>
  <c r="I12" i="11"/>
  <c r="V24" i="11"/>
  <c r="V32" i="11" s="1"/>
  <c r="W32" i="11" s="1"/>
  <c r="X32" i="11" s="1"/>
  <c r="Y32" i="11" s="1"/>
  <c r="Z32" i="11" s="1"/>
  <c r="AA32" i="11" s="1"/>
  <c r="AB32" i="11" s="1"/>
  <c r="AC32" i="11" s="1"/>
  <c r="AD32" i="11" s="1"/>
  <c r="AE32" i="11" s="1"/>
  <c r="J25" i="11"/>
  <c r="J28" i="11" s="1"/>
  <c r="G45" i="11"/>
  <c r="G43" i="11"/>
  <c r="G44" i="11" s="1"/>
  <c r="G47" i="11"/>
  <c r="I29" i="11"/>
  <c r="I32" i="11" s="1"/>
  <c r="J7" i="11"/>
  <c r="K39" i="11"/>
  <c r="L15" i="11"/>
  <c r="H33" i="11"/>
  <c r="H40" i="11" s="1"/>
  <c r="H41" i="11" s="1"/>
  <c r="H46" i="11" s="1"/>
  <c r="J31" i="10"/>
  <c r="J36" i="10"/>
  <c r="J11" i="10"/>
  <c r="J13" i="10" s="1"/>
  <c r="J12" i="10"/>
  <c r="J23" i="10"/>
  <c r="J8" i="10"/>
  <c r="J9" i="10" s="1"/>
  <c r="H43" i="10"/>
  <c r="H44" i="10" s="1"/>
  <c r="H47" i="10"/>
  <c r="H45" i="10"/>
  <c r="I29" i="10"/>
  <c r="I35" i="10" s="1"/>
  <c r="I37" i="10" s="1"/>
  <c r="K5" i="10"/>
  <c r="K24" i="10" s="1"/>
  <c r="K26" i="10" s="1"/>
  <c r="K6" i="10"/>
  <c r="L3" i="10"/>
  <c r="K19" i="10"/>
  <c r="K4" i="10"/>
  <c r="K7" i="10" s="1"/>
  <c r="K39" i="10"/>
  <c r="L15" i="10"/>
  <c r="K27" i="10"/>
  <c r="J25" i="10"/>
  <c r="J28" i="10" s="1"/>
  <c r="V24" i="10"/>
  <c r="AA35" i="10"/>
  <c r="AB29" i="10"/>
  <c r="AB35" i="10" s="1"/>
  <c r="T40" i="10"/>
  <c r="J29" i="10"/>
  <c r="U31" i="10"/>
  <c r="V31" i="10" s="1"/>
  <c r="W31" i="10" s="1"/>
  <c r="X31" i="10" s="1"/>
  <c r="Y31" i="10" s="1"/>
  <c r="Z31" i="10" s="1"/>
  <c r="AA31" i="10" s="1"/>
  <c r="AB31" i="10" s="1"/>
  <c r="AC31" i="10" s="1"/>
  <c r="AD31" i="10" s="1"/>
  <c r="U35" i="10"/>
  <c r="V28" i="10"/>
  <c r="H20" i="10"/>
  <c r="H18" i="10"/>
  <c r="H16" i="10"/>
  <c r="H17" i="10" s="1"/>
  <c r="G45" i="10"/>
  <c r="G43" i="10"/>
  <c r="G44" i="10" s="1"/>
  <c r="G47" i="10"/>
  <c r="I18" i="10"/>
  <c r="I16" i="10"/>
  <c r="I17" i="10" s="1"/>
  <c r="I20" i="10"/>
  <c r="I32" i="10"/>
  <c r="K53" i="12" l="1"/>
  <c r="K68" i="12"/>
  <c r="K76" i="12" s="1"/>
  <c r="I74" i="12"/>
  <c r="I75" i="12" s="1"/>
  <c r="X41" i="12"/>
  <c r="X48" i="12" s="1"/>
  <c r="H47" i="12"/>
  <c r="H48" i="12"/>
  <c r="H44" i="12"/>
  <c r="H45" i="12" s="1"/>
  <c r="J32" i="12"/>
  <c r="J33" i="12" s="1"/>
  <c r="J41" i="12" s="1"/>
  <c r="J42" i="12" s="1"/>
  <c r="J47" i="12" s="1"/>
  <c r="I56" i="12"/>
  <c r="I57" i="12" s="1"/>
  <c r="M25" i="12"/>
  <c r="M28" i="12" s="1"/>
  <c r="M29" i="12" s="1"/>
  <c r="Y24" i="12"/>
  <c r="W48" i="12"/>
  <c r="W42" i="12"/>
  <c r="I33" i="12"/>
  <c r="I41" i="12" s="1"/>
  <c r="I42" i="12" s="1"/>
  <c r="H62" i="12"/>
  <c r="H59" i="12"/>
  <c r="H60" i="12" s="1"/>
  <c r="H63" i="12"/>
  <c r="K16" i="12"/>
  <c r="K17" i="12" s="1"/>
  <c r="K20" i="12"/>
  <c r="K18" i="12"/>
  <c r="J46" i="12"/>
  <c r="Y41" i="12"/>
  <c r="Z28" i="12"/>
  <c r="AA28" i="12" s="1"/>
  <c r="I78" i="12"/>
  <c r="K46" i="12"/>
  <c r="L40" i="12"/>
  <c r="L70" i="12" s="1"/>
  <c r="L55" i="12" s="1"/>
  <c r="M15" i="12"/>
  <c r="L19" i="12"/>
  <c r="L52" i="12"/>
  <c r="L37" i="12"/>
  <c r="L67" i="12"/>
  <c r="L12" i="12"/>
  <c r="L23" i="12"/>
  <c r="L8" i="12"/>
  <c r="L9" i="12" s="1"/>
  <c r="L11" i="12"/>
  <c r="M7" i="12"/>
  <c r="K61" i="12"/>
  <c r="J71" i="12"/>
  <c r="J72" i="12" s="1"/>
  <c r="K31" i="12"/>
  <c r="K31" i="11"/>
  <c r="I33" i="11"/>
  <c r="I40" i="11" s="1"/>
  <c r="I41" i="11" s="1"/>
  <c r="I46" i="11" s="1"/>
  <c r="L39" i="11"/>
  <c r="M15" i="11"/>
  <c r="J29" i="11"/>
  <c r="J32" i="11" s="1"/>
  <c r="I18" i="11"/>
  <c r="I16" i="11"/>
  <c r="I17" i="11" s="1"/>
  <c r="I20" i="11"/>
  <c r="X28" i="11"/>
  <c r="K25" i="11"/>
  <c r="K28" i="11" s="1"/>
  <c r="W24" i="11"/>
  <c r="W33" i="11" s="1"/>
  <c r="X33" i="11" s="1"/>
  <c r="Y33" i="11" s="1"/>
  <c r="Z33" i="11" s="1"/>
  <c r="AA33" i="11" s="1"/>
  <c r="AB33" i="11" s="1"/>
  <c r="AC33" i="11" s="1"/>
  <c r="AD33" i="11" s="1"/>
  <c r="AE33" i="11" s="1"/>
  <c r="AF33" i="11" s="1"/>
  <c r="L19" i="11"/>
  <c r="L6" i="11"/>
  <c r="M3" i="11"/>
  <c r="L4" i="11"/>
  <c r="L5" i="11"/>
  <c r="L24" i="11" s="1"/>
  <c r="L26" i="11" s="1"/>
  <c r="I35" i="11"/>
  <c r="I37" i="11" s="1"/>
  <c r="K7" i="11"/>
  <c r="U41" i="11"/>
  <c r="H47" i="11"/>
  <c r="J23" i="11"/>
  <c r="J36" i="11"/>
  <c r="J11" i="11"/>
  <c r="J13" i="11" s="1"/>
  <c r="J12" i="11"/>
  <c r="J8" i="11"/>
  <c r="J9" i="11" s="1"/>
  <c r="V35" i="11"/>
  <c r="V40" i="11" s="1"/>
  <c r="V47" i="11" s="1"/>
  <c r="W29" i="11"/>
  <c r="H43" i="11"/>
  <c r="H44" i="11" s="1"/>
  <c r="K36" i="10"/>
  <c r="K12" i="10"/>
  <c r="K23" i="10"/>
  <c r="K8" i="10"/>
  <c r="K11" i="10"/>
  <c r="K9" i="10"/>
  <c r="J16" i="10"/>
  <c r="J17" i="10" s="1"/>
  <c r="J20" i="10"/>
  <c r="J18" i="10"/>
  <c r="I45" i="10"/>
  <c r="U40" i="10"/>
  <c r="W28" i="10"/>
  <c r="T41" i="10"/>
  <c r="T47" i="10"/>
  <c r="V32" i="10"/>
  <c r="W32" i="10" s="1"/>
  <c r="X32" i="10" s="1"/>
  <c r="Y32" i="10" s="1"/>
  <c r="Z32" i="10" s="1"/>
  <c r="AA32" i="10" s="1"/>
  <c r="AB32" i="10" s="1"/>
  <c r="AC32" i="10" s="1"/>
  <c r="AD32" i="10" s="1"/>
  <c r="AE32" i="10" s="1"/>
  <c r="V35" i="10"/>
  <c r="L39" i="10"/>
  <c r="M15" i="10"/>
  <c r="L6" i="10"/>
  <c r="M3" i="10"/>
  <c r="L19" i="10"/>
  <c r="L4" i="10"/>
  <c r="L7" i="10" s="1"/>
  <c r="L5" i="10"/>
  <c r="L24" i="10" s="1"/>
  <c r="L26" i="10" s="1"/>
  <c r="L27" i="10" s="1"/>
  <c r="K31" i="10"/>
  <c r="J35" i="10"/>
  <c r="J37" i="10" s="1"/>
  <c r="J32" i="10"/>
  <c r="J33" i="10" s="1"/>
  <c r="J40" i="10" s="1"/>
  <c r="J41" i="10" s="1"/>
  <c r="J46" i="10" s="1"/>
  <c r="K25" i="10"/>
  <c r="K28" i="10" s="1"/>
  <c r="W24" i="10"/>
  <c r="I33" i="10"/>
  <c r="I40" i="10" s="1"/>
  <c r="I41" i="10" s="1"/>
  <c r="I46" i="10" s="1"/>
  <c r="X42" i="12" l="1"/>
  <c r="J48" i="12"/>
  <c r="L13" i="12"/>
  <c r="L16" i="12" s="1"/>
  <c r="L17" i="12" s="1"/>
  <c r="I62" i="12"/>
  <c r="I63" i="12"/>
  <c r="I59" i="12"/>
  <c r="I60" i="12" s="1"/>
  <c r="K71" i="12"/>
  <c r="K72" i="12" s="1"/>
  <c r="L31" i="12"/>
  <c r="L51" i="12"/>
  <c r="L53" i="12" s="1"/>
  <c r="L66" i="12"/>
  <c r="L68" i="12" s="1"/>
  <c r="L36" i="12"/>
  <c r="L38" i="12" s="1"/>
  <c r="J44" i="12"/>
  <c r="J45" i="12" s="1"/>
  <c r="J56" i="12"/>
  <c r="J57" i="12" s="1"/>
  <c r="K32" i="12"/>
  <c r="J77" i="12"/>
  <c r="J74" i="12"/>
  <c r="J75" i="12" s="1"/>
  <c r="J78" i="12"/>
  <c r="L18" i="12"/>
  <c r="Y42" i="12"/>
  <c r="Y48" i="12"/>
  <c r="M52" i="12"/>
  <c r="M67" i="12"/>
  <c r="M37" i="12"/>
  <c r="M23" i="12"/>
  <c r="M8" i="12"/>
  <c r="M9" i="12" s="1"/>
  <c r="M11" i="12"/>
  <c r="M12" i="12"/>
  <c r="M40" i="12"/>
  <c r="M70" i="12" s="1"/>
  <c r="M55" i="12" s="1"/>
  <c r="N20" i="12"/>
  <c r="M19" i="12"/>
  <c r="I47" i="12"/>
  <c r="I48" i="12"/>
  <c r="I44" i="12"/>
  <c r="I45" i="12" s="1"/>
  <c r="I47" i="10"/>
  <c r="I43" i="10"/>
  <c r="I44" i="10" s="1"/>
  <c r="L27" i="11"/>
  <c r="L31" i="11" s="1"/>
  <c r="M31" i="11" s="1"/>
  <c r="J33" i="11"/>
  <c r="J40" i="11" s="1"/>
  <c r="J41" i="11" s="1"/>
  <c r="J46" i="11" s="1"/>
  <c r="K36" i="11"/>
  <c r="K23" i="11"/>
  <c r="K35" i="11" s="1"/>
  <c r="K37" i="11" s="1"/>
  <c r="K12" i="11"/>
  <c r="K11" i="11"/>
  <c r="K13" i="11" s="1"/>
  <c r="K8" i="11"/>
  <c r="K9" i="11" s="1"/>
  <c r="L7" i="11"/>
  <c r="K29" i="11"/>
  <c r="K32" i="11" s="1"/>
  <c r="N20" i="11"/>
  <c r="M39" i="11"/>
  <c r="J35" i="11"/>
  <c r="J37" i="11" s="1"/>
  <c r="V41" i="11"/>
  <c r="Y28" i="11"/>
  <c r="W35" i="11"/>
  <c r="W40" i="11" s="1"/>
  <c r="X29" i="11"/>
  <c r="M6" i="11"/>
  <c r="M4" i="11"/>
  <c r="M7" i="11" s="1"/>
  <c r="M19" i="11"/>
  <c r="M5" i="11"/>
  <c r="M24" i="11" s="1"/>
  <c r="M26" i="11" s="1"/>
  <c r="M27" i="11" s="1"/>
  <c r="J20" i="11"/>
  <c r="J16" i="11"/>
  <c r="J17" i="11" s="1"/>
  <c r="J18" i="11"/>
  <c r="I43" i="11"/>
  <c r="I44" i="11" s="1"/>
  <c r="I47" i="11"/>
  <c r="I45" i="11"/>
  <c r="L25" i="11"/>
  <c r="L28" i="11" s="1"/>
  <c r="X24" i="11"/>
  <c r="L29" i="11"/>
  <c r="L36" i="10"/>
  <c r="L23" i="10"/>
  <c r="L8" i="10"/>
  <c r="L9" i="10" s="1"/>
  <c r="L11" i="10"/>
  <c r="L13" i="10" s="1"/>
  <c r="L12" i="10"/>
  <c r="M39" i="10"/>
  <c r="N20" i="10"/>
  <c r="W35" i="10"/>
  <c r="W33" i="10"/>
  <c r="X33" i="10" s="1"/>
  <c r="Y33" i="10" s="1"/>
  <c r="Z33" i="10" s="1"/>
  <c r="AA33" i="10" s="1"/>
  <c r="AB33" i="10" s="1"/>
  <c r="AC33" i="10" s="1"/>
  <c r="AD33" i="10" s="1"/>
  <c r="AE33" i="10" s="1"/>
  <c r="AF33" i="10" s="1"/>
  <c r="J47" i="10"/>
  <c r="J45" i="10"/>
  <c r="J43" i="10"/>
  <c r="J44" i="10" s="1"/>
  <c r="W40" i="10"/>
  <c r="X28" i="10"/>
  <c r="K29" i="10"/>
  <c r="K32" i="10" s="1"/>
  <c r="V40" i="10"/>
  <c r="L31" i="10"/>
  <c r="M19" i="10"/>
  <c r="M4" i="10"/>
  <c r="M5" i="10"/>
  <c r="M24" i="10" s="1"/>
  <c r="M26" i="10" s="1"/>
  <c r="M27" i="10" s="1"/>
  <c r="M6" i="10"/>
  <c r="L25" i="10"/>
  <c r="L28" i="10" s="1"/>
  <c r="L29" i="10" s="1"/>
  <c r="X24" i="10"/>
  <c r="X35" i="10" s="1"/>
  <c r="U47" i="10"/>
  <c r="U41" i="10"/>
  <c r="K13" i="10"/>
  <c r="L20" i="12" l="1"/>
  <c r="M13" i="12"/>
  <c r="M18" i="12" s="1"/>
  <c r="M66" i="12"/>
  <c r="M68" i="12" s="1"/>
  <c r="M51" i="12"/>
  <c r="M53" i="12" s="1"/>
  <c r="M36" i="12"/>
  <c r="M38" i="12" s="1"/>
  <c r="K56" i="12"/>
  <c r="K57" i="12" s="1"/>
  <c r="L32" i="12"/>
  <c r="L33" i="12" s="1"/>
  <c r="L41" i="12" s="1"/>
  <c r="L42" i="12" s="1"/>
  <c r="L47" i="12" s="1"/>
  <c r="L76" i="12"/>
  <c r="K77" i="12"/>
  <c r="K74" i="12"/>
  <c r="K75" i="12" s="1"/>
  <c r="K78" i="12"/>
  <c r="J62" i="12"/>
  <c r="J63" i="12"/>
  <c r="J59" i="12"/>
  <c r="J60" i="12" s="1"/>
  <c r="L61" i="12"/>
  <c r="L71" i="12"/>
  <c r="L72" i="12" s="1"/>
  <c r="L77" i="12" s="1"/>
  <c r="M31" i="12"/>
  <c r="L46" i="12"/>
  <c r="K33" i="12"/>
  <c r="K41" i="12" s="1"/>
  <c r="K42" i="12" s="1"/>
  <c r="K35" i="10"/>
  <c r="K37" i="10" s="1"/>
  <c r="W41" i="11"/>
  <c r="W47" i="11"/>
  <c r="L32" i="11"/>
  <c r="K33" i="11"/>
  <c r="K40" i="11" s="1"/>
  <c r="K41" i="11" s="1"/>
  <c r="K46" i="11" s="1"/>
  <c r="M36" i="11"/>
  <c r="M8" i="11"/>
  <c r="M23" i="11"/>
  <c r="M11" i="11"/>
  <c r="M13" i="11" s="1"/>
  <c r="M9" i="11"/>
  <c r="M12" i="11"/>
  <c r="K45" i="11"/>
  <c r="X35" i="11"/>
  <c r="X40" i="11" s="1"/>
  <c r="X41" i="11" s="1"/>
  <c r="Y29" i="11"/>
  <c r="J47" i="11"/>
  <c r="J45" i="11"/>
  <c r="J43" i="11"/>
  <c r="J44" i="11" s="1"/>
  <c r="K16" i="11"/>
  <c r="K17" i="11" s="1"/>
  <c r="K20" i="11"/>
  <c r="K18" i="11"/>
  <c r="M25" i="11"/>
  <c r="M28" i="11" s="1"/>
  <c r="M29" i="11" s="1"/>
  <c r="Y24" i="11"/>
  <c r="Z28" i="11"/>
  <c r="AA28" i="11" s="1"/>
  <c r="L36" i="11"/>
  <c r="L23" i="11"/>
  <c r="L35" i="11" s="1"/>
  <c r="L37" i="11" s="1"/>
  <c r="L8" i="11"/>
  <c r="L9" i="11" s="1"/>
  <c r="L11" i="11"/>
  <c r="L13" i="11" s="1"/>
  <c r="L12" i="11"/>
  <c r="M25" i="10"/>
  <c r="M28" i="10" s="1"/>
  <c r="M29" i="10" s="1"/>
  <c r="Y24" i="10"/>
  <c r="Y35" i="10" s="1"/>
  <c r="L20" i="10"/>
  <c r="L18" i="10"/>
  <c r="L16" i="10"/>
  <c r="L17" i="10" s="1"/>
  <c r="K45" i="10"/>
  <c r="M31" i="10"/>
  <c r="M7" i="10"/>
  <c r="V47" i="10"/>
  <c r="V41" i="10"/>
  <c r="W41" i="10"/>
  <c r="W47" i="10"/>
  <c r="L35" i="10"/>
  <c r="L37" i="10" s="1"/>
  <c r="K16" i="10"/>
  <c r="K17" i="10" s="1"/>
  <c r="K20" i="10"/>
  <c r="K18" i="10"/>
  <c r="Y28" i="10"/>
  <c r="X40" i="10"/>
  <c r="L32" i="10"/>
  <c r="K33" i="10"/>
  <c r="K40" i="10" s="1"/>
  <c r="K41" i="10" s="1"/>
  <c r="K46" i="10" s="1"/>
  <c r="M16" i="12" l="1"/>
  <c r="M17" i="12" s="1"/>
  <c r="M20" i="12"/>
  <c r="L74" i="12"/>
  <c r="L75" i="12" s="1"/>
  <c r="L78" i="12"/>
  <c r="K47" i="12"/>
  <c r="K44" i="12"/>
  <c r="K45" i="12" s="1"/>
  <c r="K48" i="12"/>
  <c r="L48" i="12"/>
  <c r="K62" i="12"/>
  <c r="K63" i="12"/>
  <c r="K59" i="12"/>
  <c r="K60" i="12" s="1"/>
  <c r="M71" i="12"/>
  <c r="M72" i="12" s="1"/>
  <c r="M77" i="12" s="1"/>
  <c r="M61" i="12"/>
  <c r="M46" i="12"/>
  <c r="L44" i="12"/>
  <c r="L45" i="12" s="1"/>
  <c r="L56" i="12"/>
  <c r="L57" i="12" s="1"/>
  <c r="M32" i="12"/>
  <c r="M56" i="12" s="1"/>
  <c r="M57" i="12" s="1"/>
  <c r="M62" i="12" s="1"/>
  <c r="M76" i="12"/>
  <c r="M32" i="10"/>
  <c r="X47" i="11"/>
  <c r="Y47" i="11"/>
  <c r="L45" i="11"/>
  <c r="K47" i="11"/>
  <c r="L20" i="11"/>
  <c r="L16" i="11"/>
  <c r="L17" i="11" s="1"/>
  <c r="L18" i="11"/>
  <c r="Y35" i="11"/>
  <c r="Y40" i="11" s="1"/>
  <c r="Y41" i="11" s="1"/>
  <c r="Z29" i="11"/>
  <c r="K43" i="11"/>
  <c r="K44" i="11" s="1"/>
  <c r="M18" i="11"/>
  <c r="M20" i="11"/>
  <c r="M16" i="11"/>
  <c r="M17" i="11" s="1"/>
  <c r="M35" i="11"/>
  <c r="M37" i="11" s="1"/>
  <c r="M32" i="11"/>
  <c r="M33" i="11" s="1"/>
  <c r="M40" i="11" s="1"/>
  <c r="M41" i="11" s="1"/>
  <c r="M46" i="11" s="1"/>
  <c r="L33" i="11"/>
  <c r="L40" i="11" s="1"/>
  <c r="L41" i="11" s="1"/>
  <c r="L46" i="11" s="1"/>
  <c r="Z28" i="10"/>
  <c r="AA28" i="10" s="1"/>
  <c r="Y40" i="10"/>
  <c r="L45" i="10"/>
  <c r="K47" i="10"/>
  <c r="M36" i="10"/>
  <c r="M8" i="10"/>
  <c r="M9" i="10" s="1"/>
  <c r="M11" i="10"/>
  <c r="M12" i="10"/>
  <c r="M23" i="10"/>
  <c r="M35" i="10" s="1"/>
  <c r="M37" i="10" s="1"/>
  <c r="K43" i="10"/>
  <c r="K44" i="10" s="1"/>
  <c r="M33" i="10"/>
  <c r="M40" i="10" s="1"/>
  <c r="M41" i="10" s="1"/>
  <c r="M46" i="10" s="1"/>
  <c r="X41" i="10"/>
  <c r="X47" i="10"/>
  <c r="L33" i="10"/>
  <c r="L40" i="10" s="1"/>
  <c r="L41" i="10" s="1"/>
  <c r="L46" i="10" s="1"/>
  <c r="L62" i="12" l="1"/>
  <c r="L59" i="12"/>
  <c r="L60" i="12" s="1"/>
  <c r="L63" i="12"/>
  <c r="M78" i="12"/>
  <c r="M63" i="12"/>
  <c r="M33" i="12"/>
  <c r="M41" i="12" s="1"/>
  <c r="M42" i="12" s="1"/>
  <c r="M74" i="12"/>
  <c r="M75" i="12" s="1"/>
  <c r="M59" i="12"/>
  <c r="M60" i="12" s="1"/>
  <c r="L43" i="10"/>
  <c r="L44" i="10" s="1"/>
  <c r="L47" i="10"/>
  <c r="M43" i="11"/>
  <c r="M44" i="11" s="1"/>
  <c r="M47" i="11"/>
  <c r="M45" i="11"/>
  <c r="L47" i="11"/>
  <c r="Z35" i="11"/>
  <c r="AA29" i="11"/>
  <c r="L43" i="11"/>
  <c r="L44" i="11" s="1"/>
  <c r="M43" i="10"/>
  <c r="M44" i="10" s="1"/>
  <c r="M47" i="10"/>
  <c r="M45" i="10"/>
  <c r="Y47" i="10"/>
  <c r="Y41" i="10"/>
  <c r="M13" i="10"/>
  <c r="M47" i="12" l="1"/>
  <c r="M44" i="12"/>
  <c r="M45" i="12" s="1"/>
  <c r="M48" i="12"/>
  <c r="AB29" i="11"/>
  <c r="AB35" i="11" s="1"/>
  <c r="AA35" i="11"/>
  <c r="M18" i="10"/>
  <c r="M16" i="10"/>
  <c r="M17" i="10" s="1"/>
  <c r="M20" i="10"/>
  <c r="AH47" i="9" l="1"/>
  <c r="AG47" i="9"/>
  <c r="AF47" i="9"/>
  <c r="AE47" i="9"/>
  <c r="AD47" i="9"/>
  <c r="AC47" i="9"/>
  <c r="AB47" i="9"/>
  <c r="AA47" i="9"/>
  <c r="Z47" i="9"/>
  <c r="N47" i="9"/>
  <c r="B40" i="9"/>
  <c r="B41" i="9" s="1"/>
  <c r="C39" i="9"/>
  <c r="B32" i="9"/>
  <c r="B31" i="9"/>
  <c r="B29" i="9"/>
  <c r="B27" i="9"/>
  <c r="Z26" i="9"/>
  <c r="B25" i="9"/>
  <c r="O24" i="9"/>
  <c r="B24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C19" i="9"/>
  <c r="D15" i="9"/>
  <c r="D39" i="9" s="1"/>
  <c r="AJ9" i="9"/>
  <c r="AJ6" i="9"/>
  <c r="D6" i="9"/>
  <c r="C6" i="9"/>
  <c r="C25" i="9" s="1"/>
  <c r="C5" i="9"/>
  <c r="C24" i="9" s="1"/>
  <c r="C4" i="9"/>
  <c r="E3" i="9"/>
  <c r="D3" i="9"/>
  <c r="D19" i="9" s="1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C19" i="5"/>
  <c r="D15" i="5"/>
  <c r="C6" i="5"/>
  <c r="C5" i="5"/>
  <c r="C4" i="5"/>
  <c r="D3" i="5"/>
  <c r="D6" i="5" s="1"/>
  <c r="O35" i="9" l="1"/>
  <c r="O25" i="9"/>
  <c r="C31" i="9"/>
  <c r="D25" i="9"/>
  <c r="D28" i="9" s="1"/>
  <c r="P24" i="9"/>
  <c r="C28" i="9"/>
  <c r="C7" i="9"/>
  <c r="E19" i="9"/>
  <c r="E4" i="9"/>
  <c r="E5" i="9"/>
  <c r="E24" i="9" s="1"/>
  <c r="E6" i="9"/>
  <c r="F3" i="9"/>
  <c r="D5" i="9"/>
  <c r="D24" i="9" s="1"/>
  <c r="D4" i="9"/>
  <c r="D7" i="9" s="1"/>
  <c r="E15" i="9"/>
  <c r="E3" i="5"/>
  <c r="C7" i="5"/>
  <c r="D4" i="5"/>
  <c r="D19" i="5"/>
  <c r="D5" i="5"/>
  <c r="E15" i="5"/>
  <c r="D29" i="9" l="1"/>
  <c r="P25" i="9"/>
  <c r="P35" i="9" s="1"/>
  <c r="P26" i="9"/>
  <c r="Q26" i="9" s="1"/>
  <c r="O40" i="9"/>
  <c r="E27" i="9"/>
  <c r="D27" i="9"/>
  <c r="F5" i="9"/>
  <c r="F24" i="9" s="1"/>
  <c r="F6" i="9"/>
  <c r="G3" i="9"/>
  <c r="F4" i="9"/>
  <c r="F7" i="9" s="1"/>
  <c r="E39" i="9"/>
  <c r="F15" i="9"/>
  <c r="F19" i="9" s="1"/>
  <c r="Q24" i="9"/>
  <c r="E25" i="9"/>
  <c r="E28" i="9" s="1"/>
  <c r="E29" i="9" s="1"/>
  <c r="D36" i="9"/>
  <c r="D8" i="9"/>
  <c r="D11" i="9"/>
  <c r="D13" i="9" s="1"/>
  <c r="D9" i="9"/>
  <c r="D23" i="9"/>
  <c r="D12" i="9"/>
  <c r="E7" i="9"/>
  <c r="C36" i="9"/>
  <c r="C23" i="9"/>
  <c r="C37" i="9" s="1"/>
  <c r="C8" i="9"/>
  <c r="C9" i="9" s="1"/>
  <c r="C11" i="9"/>
  <c r="C13" i="9" s="1"/>
  <c r="C12" i="9"/>
  <c r="C33" i="9"/>
  <c r="C40" i="9" s="1"/>
  <c r="C41" i="9" s="1"/>
  <c r="C46" i="9" s="1"/>
  <c r="E5" i="5"/>
  <c r="E19" i="5"/>
  <c r="E6" i="5"/>
  <c r="F3" i="5"/>
  <c r="E4" i="5"/>
  <c r="C12" i="5"/>
  <c r="C8" i="5"/>
  <c r="C9" i="5" s="1"/>
  <c r="C11" i="5"/>
  <c r="F15" i="5"/>
  <c r="D7" i="5"/>
  <c r="D35" i="9" l="1"/>
  <c r="D37" i="9" s="1"/>
  <c r="D45" i="9" s="1"/>
  <c r="E35" i="9"/>
  <c r="D32" i="9"/>
  <c r="E32" i="9" s="1"/>
  <c r="P40" i="9"/>
  <c r="P47" i="9" s="1"/>
  <c r="Q27" i="9"/>
  <c r="R27" i="9" s="1"/>
  <c r="O41" i="9"/>
  <c r="O47" i="9"/>
  <c r="D31" i="9"/>
  <c r="E31" i="9" s="1"/>
  <c r="F27" i="9"/>
  <c r="F36" i="9"/>
  <c r="F12" i="9"/>
  <c r="F23" i="9"/>
  <c r="F8" i="9"/>
  <c r="F9" i="9" s="1"/>
  <c r="F11" i="9"/>
  <c r="F13" i="9" s="1"/>
  <c r="C18" i="9"/>
  <c r="C16" i="9"/>
  <c r="C17" i="9" s="1"/>
  <c r="F25" i="9"/>
  <c r="F28" i="9" s="1"/>
  <c r="R24" i="9"/>
  <c r="E11" i="9"/>
  <c r="E13" i="9" s="1"/>
  <c r="E12" i="9"/>
  <c r="E36" i="9"/>
  <c r="E23" i="9"/>
  <c r="E8" i="9"/>
  <c r="E9" i="9" s="1"/>
  <c r="C45" i="9"/>
  <c r="C43" i="9"/>
  <c r="C44" i="9" s="1"/>
  <c r="D18" i="9"/>
  <c r="D20" i="9"/>
  <c r="D16" i="9"/>
  <c r="D17" i="9" s="1"/>
  <c r="F39" i="9"/>
  <c r="G15" i="9"/>
  <c r="G6" i="9"/>
  <c r="H3" i="9"/>
  <c r="G4" i="9"/>
  <c r="G7" i="9" s="1"/>
  <c r="G5" i="9"/>
  <c r="G24" i="9" s="1"/>
  <c r="G27" i="9" s="1"/>
  <c r="E7" i="5"/>
  <c r="C13" i="5"/>
  <c r="D8" i="5"/>
  <c r="D9" i="5"/>
  <c r="D11" i="5"/>
  <c r="D12" i="5"/>
  <c r="F19" i="5"/>
  <c r="F6" i="5"/>
  <c r="G3" i="5"/>
  <c r="F4" i="5"/>
  <c r="F5" i="5"/>
  <c r="C16" i="5"/>
  <c r="C17" i="5" s="1"/>
  <c r="C18" i="5"/>
  <c r="E11" i="5"/>
  <c r="E12" i="5"/>
  <c r="E8" i="5"/>
  <c r="E9" i="5" s="1"/>
  <c r="G15" i="5"/>
  <c r="Q35" i="9" l="1"/>
  <c r="R35" i="9"/>
  <c r="F29" i="9"/>
  <c r="F35" i="9" s="1"/>
  <c r="P41" i="9"/>
  <c r="D33" i="9"/>
  <c r="D40" i="9" s="1"/>
  <c r="D41" i="9" s="1"/>
  <c r="D46" i="9" s="1"/>
  <c r="Q40" i="9"/>
  <c r="Q47" i="9" s="1"/>
  <c r="F31" i="9"/>
  <c r="G31" i="9" s="1"/>
  <c r="R28" i="9"/>
  <c r="S28" i="9" s="1"/>
  <c r="T28" i="9" s="1"/>
  <c r="G36" i="9"/>
  <c r="G23" i="9"/>
  <c r="G8" i="9"/>
  <c r="G9" i="9" s="1"/>
  <c r="G11" i="9"/>
  <c r="G13" i="9" s="1"/>
  <c r="G12" i="9"/>
  <c r="G39" i="9"/>
  <c r="H15" i="9"/>
  <c r="S24" i="9"/>
  <c r="G25" i="9"/>
  <c r="G28" i="9" s="1"/>
  <c r="G29" i="9" s="1"/>
  <c r="G35" i="9" s="1"/>
  <c r="E33" i="9"/>
  <c r="E40" i="9" s="1"/>
  <c r="E41" i="9" s="1"/>
  <c r="E46" i="9" s="1"/>
  <c r="F16" i="9"/>
  <c r="F17" i="9" s="1"/>
  <c r="F20" i="9"/>
  <c r="F18" i="9"/>
  <c r="H19" i="9"/>
  <c r="H4" i="9"/>
  <c r="H7" i="9" s="1"/>
  <c r="H5" i="9"/>
  <c r="H24" i="9" s="1"/>
  <c r="H27" i="9" s="1"/>
  <c r="H6" i="9"/>
  <c r="I3" i="9"/>
  <c r="G19" i="9"/>
  <c r="E37" i="9"/>
  <c r="E16" i="9"/>
  <c r="E17" i="9" s="1"/>
  <c r="E20" i="9"/>
  <c r="E18" i="9"/>
  <c r="F7" i="5"/>
  <c r="F8" i="5" s="1"/>
  <c r="F9" i="5" s="1"/>
  <c r="G4" i="5"/>
  <c r="G19" i="5"/>
  <c r="G5" i="5"/>
  <c r="H3" i="5"/>
  <c r="G6" i="5"/>
  <c r="D13" i="5"/>
  <c r="H15" i="5"/>
  <c r="E13" i="5"/>
  <c r="F37" i="9" l="1"/>
  <c r="F45" i="9" s="1"/>
  <c r="F32" i="9"/>
  <c r="G32" i="9" s="1"/>
  <c r="D47" i="9"/>
  <c r="D43" i="9"/>
  <c r="D44" i="9" s="1"/>
  <c r="R40" i="9"/>
  <c r="R47" i="9" s="1"/>
  <c r="Q41" i="9"/>
  <c r="S29" i="9"/>
  <c r="T29" i="9" s="1"/>
  <c r="U29" i="9" s="1"/>
  <c r="V29" i="9" s="1"/>
  <c r="W29" i="9" s="1"/>
  <c r="X29" i="9" s="1"/>
  <c r="Y29" i="9" s="1"/>
  <c r="Z29" i="9" s="1"/>
  <c r="Z35" i="9" s="1"/>
  <c r="H31" i="9"/>
  <c r="H36" i="9"/>
  <c r="H8" i="9"/>
  <c r="H23" i="9"/>
  <c r="H11" i="9"/>
  <c r="H13" i="9" s="1"/>
  <c r="H9" i="9"/>
  <c r="H12" i="9"/>
  <c r="H25" i="9"/>
  <c r="H28" i="9" s="1"/>
  <c r="H29" i="9" s="1"/>
  <c r="H35" i="9" s="1"/>
  <c r="T24" i="9"/>
  <c r="U28" i="9"/>
  <c r="H39" i="9"/>
  <c r="I15" i="9"/>
  <c r="I19" i="9"/>
  <c r="I4" i="9"/>
  <c r="I7" i="9" s="1"/>
  <c r="I5" i="9"/>
  <c r="I24" i="9" s="1"/>
  <c r="I6" i="9"/>
  <c r="J3" i="9"/>
  <c r="E43" i="9"/>
  <c r="E44" i="9" s="1"/>
  <c r="E47" i="9"/>
  <c r="E45" i="9"/>
  <c r="G20" i="9"/>
  <c r="G18" i="9"/>
  <c r="G16" i="9"/>
  <c r="G17" i="9" s="1"/>
  <c r="G7" i="5"/>
  <c r="G12" i="5" s="1"/>
  <c r="F11" i="5"/>
  <c r="F12" i="5"/>
  <c r="E18" i="5"/>
  <c r="E16" i="5"/>
  <c r="E17" i="5" s="1"/>
  <c r="E20" i="5"/>
  <c r="I15" i="5"/>
  <c r="H4" i="5"/>
  <c r="H5" i="5"/>
  <c r="H19" i="5"/>
  <c r="H6" i="5"/>
  <c r="I3" i="5"/>
  <c r="D20" i="5"/>
  <c r="D18" i="5"/>
  <c r="D16" i="5"/>
  <c r="D17" i="5" s="1"/>
  <c r="T35" i="9" l="1"/>
  <c r="S35" i="9"/>
  <c r="F33" i="9"/>
  <c r="F40" i="9" s="1"/>
  <c r="F41" i="9" s="1"/>
  <c r="F46" i="9" s="1"/>
  <c r="H32" i="9"/>
  <c r="R41" i="9"/>
  <c r="S40" i="9"/>
  <c r="S47" i="9" s="1"/>
  <c r="T30" i="9"/>
  <c r="U30" i="9" s="1"/>
  <c r="V30" i="9" s="1"/>
  <c r="W30" i="9" s="1"/>
  <c r="X30" i="9" s="1"/>
  <c r="Y30" i="9" s="1"/>
  <c r="Z30" i="9" s="1"/>
  <c r="AA30" i="9" s="1"/>
  <c r="AB30" i="9" s="1"/>
  <c r="AC30" i="9" s="1"/>
  <c r="AA29" i="9"/>
  <c r="AA35" i="9" s="1"/>
  <c r="G37" i="9"/>
  <c r="G45" i="9" s="1"/>
  <c r="I27" i="9"/>
  <c r="I11" i="9"/>
  <c r="I36" i="9"/>
  <c r="I12" i="9"/>
  <c r="I23" i="9"/>
  <c r="I8" i="9"/>
  <c r="I9" i="9" s="1"/>
  <c r="U24" i="9"/>
  <c r="U35" i="9" s="1"/>
  <c r="I25" i="9"/>
  <c r="I28" i="9" s="1"/>
  <c r="V28" i="9"/>
  <c r="H37" i="9"/>
  <c r="I39" i="9"/>
  <c r="J15" i="9"/>
  <c r="J5" i="9"/>
  <c r="J24" i="9" s="1"/>
  <c r="J6" i="9"/>
  <c r="K3" i="9"/>
  <c r="J19" i="9"/>
  <c r="J4" i="9"/>
  <c r="J7" i="9" s="1"/>
  <c r="H18" i="9"/>
  <c r="H20" i="9"/>
  <c r="H16" i="9"/>
  <c r="H17" i="9" s="1"/>
  <c r="G11" i="5"/>
  <c r="G8" i="5"/>
  <c r="G9" i="5" s="1"/>
  <c r="G13" i="5"/>
  <c r="H7" i="5"/>
  <c r="H12" i="5" s="1"/>
  <c r="F13" i="5"/>
  <c r="J15" i="5"/>
  <c r="I5" i="5"/>
  <c r="I19" i="5"/>
  <c r="I6" i="5"/>
  <c r="J3" i="5"/>
  <c r="I4" i="5"/>
  <c r="I7" i="5" s="1"/>
  <c r="G16" i="5"/>
  <c r="G17" i="5" s="1"/>
  <c r="G18" i="5"/>
  <c r="G20" i="5"/>
  <c r="F47" i="9" l="1"/>
  <c r="F43" i="9"/>
  <c r="F44" i="9" s="1"/>
  <c r="I29" i="9"/>
  <c r="I35" i="9" s="1"/>
  <c r="T40" i="9"/>
  <c r="T41" i="9" s="1"/>
  <c r="S41" i="9"/>
  <c r="I31" i="9"/>
  <c r="AB29" i="9"/>
  <c r="AB35" i="9" s="1"/>
  <c r="U31" i="9"/>
  <c r="V31" i="9" s="1"/>
  <c r="W31" i="9" s="1"/>
  <c r="X31" i="9" s="1"/>
  <c r="Y31" i="9" s="1"/>
  <c r="Z31" i="9" s="1"/>
  <c r="AA31" i="9" s="1"/>
  <c r="AB31" i="9" s="1"/>
  <c r="AC31" i="9" s="1"/>
  <c r="AD31" i="9" s="1"/>
  <c r="J27" i="9"/>
  <c r="J36" i="9"/>
  <c r="J12" i="9"/>
  <c r="J23" i="9"/>
  <c r="J8" i="9"/>
  <c r="J9" i="9" s="1"/>
  <c r="J11" i="9"/>
  <c r="J25" i="9"/>
  <c r="J28" i="9" s="1"/>
  <c r="J29" i="9" s="1"/>
  <c r="V24" i="9"/>
  <c r="V35" i="9" s="1"/>
  <c r="K6" i="9"/>
  <c r="L3" i="9"/>
  <c r="K4" i="9"/>
  <c r="K7" i="9" s="1"/>
  <c r="K5" i="9"/>
  <c r="K24" i="9" s="1"/>
  <c r="H45" i="9"/>
  <c r="H33" i="9"/>
  <c r="H40" i="9" s="1"/>
  <c r="H41" i="9" s="1"/>
  <c r="H46" i="9" s="1"/>
  <c r="J39" i="9"/>
  <c r="K15" i="9"/>
  <c r="G33" i="9"/>
  <c r="G40" i="9" s="1"/>
  <c r="G41" i="9" s="1"/>
  <c r="W28" i="9"/>
  <c r="I13" i="9"/>
  <c r="H8" i="5"/>
  <c r="H9" i="5" s="1"/>
  <c r="H11" i="5"/>
  <c r="F16" i="5"/>
  <c r="F17" i="5" s="1"/>
  <c r="F20" i="5"/>
  <c r="F18" i="5"/>
  <c r="H13" i="5"/>
  <c r="H20" i="5"/>
  <c r="H18" i="5"/>
  <c r="H16" i="5"/>
  <c r="H17" i="5" s="1"/>
  <c r="K15" i="5"/>
  <c r="J19" i="5"/>
  <c r="J6" i="5"/>
  <c r="K3" i="5"/>
  <c r="J4" i="5"/>
  <c r="J5" i="5"/>
  <c r="I11" i="5"/>
  <c r="I13" i="5" s="1"/>
  <c r="I12" i="5"/>
  <c r="I8" i="5"/>
  <c r="I9" i="5" s="1"/>
  <c r="J35" i="9" l="1"/>
  <c r="I32" i="9"/>
  <c r="J32" i="9" s="1"/>
  <c r="I37" i="9"/>
  <c r="I45" i="9" s="1"/>
  <c r="T47" i="9"/>
  <c r="J31" i="9"/>
  <c r="U40" i="9"/>
  <c r="U41" i="9" s="1"/>
  <c r="V32" i="9"/>
  <c r="W32" i="9" s="1"/>
  <c r="X32" i="9" s="1"/>
  <c r="Y32" i="9" s="1"/>
  <c r="Z32" i="9" s="1"/>
  <c r="AA32" i="9" s="1"/>
  <c r="AB32" i="9" s="1"/>
  <c r="AC32" i="9" s="1"/>
  <c r="AD32" i="9" s="1"/>
  <c r="AE32" i="9" s="1"/>
  <c r="K27" i="9"/>
  <c r="K36" i="9"/>
  <c r="K23" i="9"/>
  <c r="K8" i="9"/>
  <c r="K9" i="9" s="1"/>
  <c r="K11" i="9"/>
  <c r="K13" i="9" s="1"/>
  <c r="K12" i="9"/>
  <c r="X28" i="9"/>
  <c r="L15" i="9"/>
  <c r="K39" i="9"/>
  <c r="K25" i="9"/>
  <c r="K28" i="9" s="1"/>
  <c r="K29" i="9" s="1"/>
  <c r="W24" i="9"/>
  <c r="W35" i="9" s="1"/>
  <c r="H47" i="9"/>
  <c r="K19" i="9"/>
  <c r="I16" i="9"/>
  <c r="I17" i="9" s="1"/>
  <c r="I20" i="9"/>
  <c r="I18" i="9"/>
  <c r="G46" i="9"/>
  <c r="G43" i="9"/>
  <c r="G44" i="9" s="1"/>
  <c r="G47" i="9"/>
  <c r="H43" i="9"/>
  <c r="H44" i="9" s="1"/>
  <c r="L19" i="9"/>
  <c r="L4" i="9"/>
  <c r="L7" i="9" s="1"/>
  <c r="L5" i="9"/>
  <c r="L24" i="9" s="1"/>
  <c r="L6" i="9"/>
  <c r="M3" i="9"/>
  <c r="J13" i="9"/>
  <c r="J7" i="5"/>
  <c r="J12" i="5" s="1"/>
  <c r="J11" i="5"/>
  <c r="I18" i="5"/>
  <c r="I16" i="5"/>
  <c r="I17" i="5" s="1"/>
  <c r="I20" i="5"/>
  <c r="K4" i="5"/>
  <c r="K5" i="5"/>
  <c r="L3" i="5"/>
  <c r="K19" i="5"/>
  <c r="K6" i="5"/>
  <c r="L15" i="5"/>
  <c r="K35" i="9" l="1"/>
  <c r="I33" i="9"/>
  <c r="I40" i="9" s="1"/>
  <c r="I41" i="9" s="1"/>
  <c r="I46" i="9" s="1"/>
  <c r="K32" i="9"/>
  <c r="U47" i="9"/>
  <c r="V40" i="9"/>
  <c r="V47" i="9" s="1"/>
  <c r="W33" i="9"/>
  <c r="X33" i="9" s="1"/>
  <c r="Y33" i="9" s="1"/>
  <c r="Z33" i="9" s="1"/>
  <c r="AA33" i="9" s="1"/>
  <c r="AB33" i="9" s="1"/>
  <c r="AC33" i="9" s="1"/>
  <c r="AD33" i="9" s="1"/>
  <c r="AE33" i="9" s="1"/>
  <c r="AF33" i="9" s="1"/>
  <c r="K31" i="9"/>
  <c r="J37" i="9"/>
  <c r="J45" i="9" s="1"/>
  <c r="L27" i="9"/>
  <c r="L35" i="9" s="1"/>
  <c r="L36" i="9"/>
  <c r="L8" i="9"/>
  <c r="L11" i="9"/>
  <c r="L9" i="9"/>
  <c r="L23" i="9"/>
  <c r="L12" i="9"/>
  <c r="L25" i="9"/>
  <c r="L28" i="9" s="1"/>
  <c r="L29" i="9" s="1"/>
  <c r="X24" i="9"/>
  <c r="L39" i="9"/>
  <c r="M15" i="9"/>
  <c r="M19" i="9" s="1"/>
  <c r="J16" i="9"/>
  <c r="J17" i="9" s="1"/>
  <c r="J20" i="9"/>
  <c r="J18" i="9"/>
  <c r="M4" i="9"/>
  <c r="M5" i="9"/>
  <c r="M24" i="9" s="1"/>
  <c r="M27" i="9" s="1"/>
  <c r="M7" i="9"/>
  <c r="M6" i="9"/>
  <c r="Y28" i="9"/>
  <c r="K20" i="9"/>
  <c r="K18" i="9"/>
  <c r="K16" i="9"/>
  <c r="K17" i="9" s="1"/>
  <c r="J8" i="5"/>
  <c r="J9" i="5" s="1"/>
  <c r="J13" i="5"/>
  <c r="J16" i="5" s="1"/>
  <c r="J17" i="5" s="1"/>
  <c r="K7" i="5"/>
  <c r="K12" i="5" s="1"/>
  <c r="M15" i="5"/>
  <c r="J20" i="5"/>
  <c r="L4" i="5"/>
  <c r="L19" i="5"/>
  <c r="L5" i="5"/>
  <c r="L6" i="5"/>
  <c r="M3" i="5"/>
  <c r="X35" i="9" l="1"/>
  <c r="X40" i="9" s="1"/>
  <c r="I43" i="9"/>
  <c r="I44" i="9" s="1"/>
  <c r="L37" i="9"/>
  <c r="I47" i="9"/>
  <c r="L32" i="9"/>
  <c r="V41" i="9"/>
  <c r="W40" i="9"/>
  <c r="W47" i="9" s="1"/>
  <c r="L31" i="9"/>
  <c r="M31" i="9" s="1"/>
  <c r="J33" i="9"/>
  <c r="J40" i="9" s="1"/>
  <c r="J41" i="9" s="1"/>
  <c r="J46" i="9" s="1"/>
  <c r="M25" i="9"/>
  <c r="M28" i="9" s="1"/>
  <c r="Y24" i="9"/>
  <c r="K37" i="9"/>
  <c r="L13" i="9"/>
  <c r="M36" i="9"/>
  <c r="M11" i="9"/>
  <c r="M12" i="9"/>
  <c r="M23" i="9"/>
  <c r="M8" i="9"/>
  <c r="M9" i="9" s="1"/>
  <c r="Z28" i="9"/>
  <c r="AA28" i="9" s="1"/>
  <c r="M39" i="9"/>
  <c r="N20" i="9"/>
  <c r="L7" i="5"/>
  <c r="J18" i="5"/>
  <c r="K11" i="5"/>
  <c r="K13" i="5" s="1"/>
  <c r="K20" i="5" s="1"/>
  <c r="K8" i="5"/>
  <c r="K9" i="5" s="1"/>
  <c r="M5" i="5"/>
  <c r="M19" i="5"/>
  <c r="M6" i="5"/>
  <c r="M4" i="5"/>
  <c r="N20" i="5"/>
  <c r="K16" i="5"/>
  <c r="K17" i="5" s="1"/>
  <c r="L8" i="5"/>
  <c r="L9" i="5"/>
  <c r="L11" i="5"/>
  <c r="L12" i="5"/>
  <c r="X41" i="9" l="1"/>
  <c r="X47" i="9"/>
  <c r="Y35" i="9"/>
  <c r="Y40" i="9" s="1"/>
  <c r="Y47" i="9" s="1"/>
  <c r="M29" i="9"/>
  <c r="M35" i="9" s="1"/>
  <c r="W41" i="9"/>
  <c r="K33" i="9"/>
  <c r="K40" i="9" s="1"/>
  <c r="K41" i="9" s="1"/>
  <c r="K46" i="9" s="1"/>
  <c r="J43" i="9"/>
  <c r="J44" i="9" s="1"/>
  <c r="J47" i="9"/>
  <c r="L33" i="9"/>
  <c r="L40" i="9" s="1"/>
  <c r="L41" i="9" s="1"/>
  <c r="L46" i="9" s="1"/>
  <c r="K45" i="9"/>
  <c r="L18" i="9"/>
  <c r="L20" i="9"/>
  <c r="L16" i="9"/>
  <c r="L17" i="9" s="1"/>
  <c r="M13" i="9"/>
  <c r="L45" i="9"/>
  <c r="K18" i="5"/>
  <c r="M7" i="5"/>
  <c r="M12" i="5" s="1"/>
  <c r="L13" i="5"/>
  <c r="L16" i="5" s="1"/>
  <c r="L17" i="5" s="1"/>
  <c r="L18" i="5"/>
  <c r="M37" i="9" l="1"/>
  <c r="M45" i="9" s="1"/>
  <c r="M32" i="9"/>
  <c r="M33" i="9" s="1"/>
  <c r="M40" i="9" s="1"/>
  <c r="M41" i="9" s="1"/>
  <c r="M46" i="9" s="1"/>
  <c r="Y41" i="9"/>
  <c r="K43" i="9"/>
  <c r="K44" i="9" s="1"/>
  <c r="K47" i="9"/>
  <c r="L47" i="9"/>
  <c r="L43" i="9"/>
  <c r="L44" i="9" s="1"/>
  <c r="M16" i="9"/>
  <c r="M17" i="9" s="1"/>
  <c r="M20" i="9"/>
  <c r="M18" i="9"/>
  <c r="M11" i="5"/>
  <c r="M8" i="5"/>
  <c r="M9" i="5" s="1"/>
  <c r="L20" i="5"/>
  <c r="M13" i="5"/>
  <c r="M20" i="5" s="1"/>
  <c r="M43" i="9" l="1"/>
  <c r="M44" i="9" s="1"/>
  <c r="M47" i="9"/>
  <c r="M16" i="5"/>
  <c r="M17" i="5" s="1"/>
  <c r="M18" i="5"/>
</calcChain>
</file>

<file path=xl/sharedStrings.xml><?xml version="1.0" encoding="utf-8"?>
<sst xmlns="http://schemas.openxmlformats.org/spreadsheetml/2006/main" count="239" uniqueCount="60">
  <si>
    <t>Revenue</t>
  </si>
  <si>
    <t>Cost of goods sold</t>
  </si>
  <si>
    <t>R&amp;D</t>
  </si>
  <si>
    <t>EBIT</t>
  </si>
  <si>
    <t>Taxes</t>
  </si>
  <si>
    <t>Earnings</t>
  </si>
  <si>
    <t>Cash OP taxes</t>
  </si>
  <si>
    <t>NOPAT</t>
  </si>
  <si>
    <t>Sales &amp; Marketing</t>
  </si>
  <si>
    <t>Total Capitalized Assets</t>
  </si>
  <si>
    <t>Original Invested Capital</t>
  </si>
  <si>
    <t>Income Statement &amp; Unadjusted NOPAT &amp; Invested Capital</t>
  </si>
  <si>
    <t>Invested Capital</t>
  </si>
  <si>
    <t>WACC</t>
  </si>
  <si>
    <t>Economic Earnings</t>
  </si>
  <si>
    <t xml:space="preserve">NOPAT Margin </t>
  </si>
  <si>
    <t>IC Turns</t>
  </si>
  <si>
    <t>Amortization Calculations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</si>
  <si>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</si>
  <si>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</si>
  <si>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</si>
  <si>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</si>
  <si>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</si>
  <si>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</si>
  <si>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</si>
  <si>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</si>
  <si>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</si>
  <si>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</si>
  <si>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</si>
  <si>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FCF</t>
  </si>
  <si>
    <t>ROIC</t>
  </si>
  <si>
    <t>Adjusted EBIT</t>
  </si>
  <si>
    <t>ROIC: Expensed</t>
  </si>
  <si>
    <t>Scenario 3: sales &amp; marketing expenses are capitalized, R&amp;D expenses are expensed</t>
  </si>
  <si>
    <t>Growth and % of rev assumptions</t>
  </si>
  <si>
    <t>Scenario 1: Income Statement &amp; Unadjusted NOPAT &amp; Invested Capital</t>
  </si>
  <si>
    <t>Scenario 2: Capitalizing R&amp;D &amp; Sales &amp; Marketing</t>
  </si>
  <si>
    <t>Scenario 4: R&amp;D expenses are capitalized, sales &amp; marketing expenses are expensed</t>
  </si>
  <si>
    <t>Click here to get more New Constructs research.</t>
  </si>
  <si>
    <t>Income Statement</t>
  </si>
  <si>
    <t>Scenario 1: Unadjusted NOPAT &amp; Invested Capital</t>
  </si>
  <si>
    <t>FCF Scenario 1</t>
  </si>
  <si>
    <t>Adjusted EBIT Scenario 2</t>
  </si>
  <si>
    <t>ROIC Scenario 2</t>
  </si>
  <si>
    <t>FCF Scenario 2</t>
  </si>
  <si>
    <t>Adjusted EBIT Scenario 3</t>
  </si>
  <si>
    <t>ROIC Scenario 3</t>
  </si>
  <si>
    <t>FCF Scenario 3</t>
  </si>
  <si>
    <t>Adjusted EBIT Scenario 4</t>
  </si>
  <si>
    <t>ROIC Scenario 4</t>
  </si>
  <si>
    <t>FCF Scenario 4</t>
  </si>
  <si>
    <t>ROIC Scenario 1</t>
  </si>
  <si>
    <t>Scenario 3: R&amp;D Is Expensed, Sales &amp; Marketing Are Capitalized</t>
  </si>
  <si>
    <t>Scenario 2: R&amp;D and Sales &amp; Marketing Are Capitalized</t>
  </si>
  <si>
    <t>Scenario 4: R&amp;D Is Capitalized, Sales &amp; Marketing Is Expensed</t>
  </si>
  <si>
    <t>Amortization Assumptions Scenario 2</t>
  </si>
  <si>
    <t># of years of Capitalization of R&amp;D</t>
  </si>
  <si>
    <t># of years of Capitalization of Sales &amp; Marketing</t>
  </si>
  <si>
    <t>Amortization Assumptions Scenario 3</t>
  </si>
  <si>
    <t>Amortization Assumptions Scenario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</si>
</sst>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.0_);_(* \(#,##0.0\);_(* &quot;-&quot;?_);_(@_)"/>
    <numFmt numFmtId="167" formatCode="&quot;$&quot;#,##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535187"/>
      <name val="Arial"/>
      <family val="2"/>
    </font>
    <font>
      <b/>
      <sz val="14"/>
      <color rgb="FF535187"/>
      <name val="Arial"/>
      <family val="2"/>
    </font>
    <font>
      <sz val="12"/>
      <color theme="1"/>
      <name val="Arial"/>
      <family val="2"/>
    </font>
    <font>
      <b/>
      <sz val="12"/>
      <color rgb="FF0000FF"/>
      <name val="Arial"/>
      <family val="2"/>
    </font>
    <font>
      <sz val="12"/>
      <color rgb="FF000000"/>
      <name val="Arial"/>
      <family val="2"/>
    </font>
    <font>
      <b/>
      <sz val="9"/>
      <color rgb="FF535187"/>
      <name val="Arial"/>
      <family val="2"/>
    </font>
    <font>
      <b/>
      <sz val="12"/>
      <color theme="1"/>
      <name val="Arial"/>
      <family val="2"/>
    </font>
    <font>
      <b/>
      <sz val="12"/>
      <color rgb="FF3366FF"/>
      <name val="Arial"/>
      <family val="2"/>
    </font>
    <font>
      <b/>
      <sz val="9"/>
      <color rgb="FF0000FF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1E385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9BFFF"/>
        <bgColor indexed="64"/>
      </patternFill>
    </fill>
    <fill>
      <patternFill patternType="solid">
        <fgColor rgb="FF9ABEF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0">
    <xf numFmtId="0" fontId="0" fillId="0" borderId="0" xfId="0"/>
    <xf numFmtId="0" fontId="4" fillId="0" borderId="0" xfId="0" applyFont="1"/>
    <xf numFmtId="167" fontId="4" fillId="0" borderId="0" xfId="0" applyNumberFormat="1" applyFont="1"/>
    <xf numFmtId="0" fontId="4" fillId="0" borderId="7" xfId="0" applyFont="1" applyBorder="1"/>
    <xf numFmtId="167" fontId="4" fillId="0" borderId="0" xfId="0" applyNumberFormat="1" applyFont="1" applyBorder="1"/>
    <xf numFmtId="167" fontId="4" fillId="0" borderId="8" xfId="0" applyNumberFormat="1" applyFont="1" applyBorder="1"/>
    <xf numFmtId="164" fontId="4" fillId="0" borderId="0" xfId="1" applyNumberFormat="1" applyFont="1"/>
    <xf numFmtId="9" fontId="4" fillId="0" borderId="0" xfId="2" applyFont="1"/>
    <xf numFmtId="165" fontId="4" fillId="0" borderId="0" xfId="2" applyNumberFormat="1" applyFont="1"/>
    <xf numFmtId="43" fontId="4" fillId="0" borderId="0" xfId="1" applyFont="1"/>
    <xf numFmtId="167" fontId="4" fillId="0" borderId="0" xfId="1" applyNumberFormat="1" applyFont="1"/>
    <xf numFmtId="9" fontId="4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6" fontId="9" fillId="0" borderId="0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/>
    <xf numFmtId="0" fontId="4" fillId="0" borderId="8" xfId="0" applyFont="1" applyBorder="1"/>
    <xf numFmtId="167" fontId="4" fillId="0" borderId="0" xfId="1" applyNumberFormat="1" applyFont="1" applyBorder="1"/>
    <xf numFmtId="167" fontId="4" fillId="0" borderId="8" xfId="1" applyNumberFormat="1" applyFont="1" applyBorder="1"/>
    <xf numFmtId="164" fontId="4" fillId="0" borderId="0" xfId="1" applyNumberFormat="1" applyFont="1" applyBorder="1"/>
    <xf numFmtId="9" fontId="4" fillId="0" borderId="0" xfId="2" applyFont="1" applyBorder="1"/>
    <xf numFmtId="165" fontId="4" fillId="0" borderId="0" xfId="2" applyNumberFormat="1" applyFont="1" applyBorder="1"/>
    <xf numFmtId="43" fontId="4" fillId="0" borderId="0" xfId="1" applyFont="1" applyBorder="1"/>
    <xf numFmtId="167" fontId="4" fillId="0" borderId="0" xfId="2" applyNumberFormat="1" applyFont="1" applyBorder="1"/>
    <xf numFmtId="164" fontId="4" fillId="0" borderId="8" xfId="1" applyNumberFormat="1" applyFont="1" applyBorder="1"/>
    <xf numFmtId="9" fontId="4" fillId="0" borderId="8" xfId="2" applyFont="1" applyBorder="1"/>
    <xf numFmtId="43" fontId="4" fillId="0" borderId="8" xfId="1" applyFont="1" applyBorder="1"/>
    <xf numFmtId="6" fontId="4" fillId="0" borderId="0" xfId="1" applyNumberFormat="1" applyFont="1"/>
    <xf numFmtId="9" fontId="4" fillId="0" borderId="0" xfId="2" applyNumberFormat="1" applyFont="1" applyBorder="1"/>
    <xf numFmtId="9" fontId="4" fillId="0" borderId="8" xfId="2" applyNumberFormat="1" applyFont="1" applyBorder="1"/>
    <xf numFmtId="2" fontId="4" fillId="0" borderId="0" xfId="2" applyNumberFormat="1" applyFont="1" applyBorder="1"/>
    <xf numFmtId="2" fontId="4" fillId="0" borderId="8" xfId="2" applyNumberFormat="1" applyFont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7" fontId="4" fillId="2" borderId="0" xfId="1" applyNumberFormat="1" applyFont="1" applyFill="1" applyBorder="1"/>
    <xf numFmtId="167" fontId="4" fillId="2" borderId="8" xfId="1" applyNumberFormat="1" applyFont="1" applyFill="1" applyBorder="1"/>
    <xf numFmtId="9" fontId="4" fillId="2" borderId="0" xfId="2" applyNumberFormat="1" applyFont="1" applyFill="1" applyBorder="1"/>
    <xf numFmtId="9" fontId="4" fillId="2" borderId="8" xfId="2" applyNumberFormat="1" applyFont="1" applyFill="1" applyBorder="1"/>
    <xf numFmtId="6" fontId="4" fillId="2" borderId="10" xfId="1" applyNumberFormat="1" applyFont="1" applyFill="1" applyBorder="1"/>
    <xf numFmtId="6" fontId="4" fillId="2" borderId="11" xfId="1" applyNumberFormat="1" applyFont="1" applyFill="1" applyBorder="1"/>
    <xf numFmtId="0" fontId="5" fillId="2" borderId="4" xfId="0" applyFont="1" applyFill="1" applyBorder="1"/>
    <xf numFmtId="167" fontId="4" fillId="2" borderId="5" xfId="1" applyNumberFormat="1" applyFont="1" applyFill="1" applyBorder="1"/>
    <xf numFmtId="167" fontId="4" fillId="2" borderId="6" xfId="1" applyNumberFormat="1" applyFont="1" applyFill="1" applyBorder="1"/>
    <xf numFmtId="0" fontId="5" fillId="2" borderId="7" xfId="0" applyFont="1" applyFill="1" applyBorder="1"/>
    <xf numFmtId="9" fontId="4" fillId="2" borderId="0" xfId="2" applyFont="1" applyFill="1" applyBorder="1"/>
    <xf numFmtId="9" fontId="4" fillId="2" borderId="8" xfId="2" applyFont="1" applyFill="1" applyBorder="1"/>
    <xf numFmtId="0" fontId="5" fillId="2" borderId="9" xfId="0" applyFont="1" applyFill="1" applyBorder="1"/>
    <xf numFmtId="167" fontId="4" fillId="2" borderId="10" xfId="1" applyNumberFormat="1" applyFont="1" applyFill="1" applyBorder="1"/>
    <xf numFmtId="0" fontId="12" fillId="0" borderId="0" xfId="0" applyFont="1"/>
    <xf numFmtId="0" fontId="12" fillId="0" borderId="0" xfId="0" applyFont="1" applyFill="1" applyBorder="1"/>
    <xf numFmtId="9" fontId="13" fillId="0" borderId="0" xfId="2" applyFont="1"/>
    <xf numFmtId="0" fontId="12" fillId="0" borderId="1" xfId="0" applyFont="1" applyBorder="1"/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7" xfId="0" applyFont="1" applyBorder="1" applyAlignment="1">
      <alignment horizontal="right"/>
    </xf>
    <xf numFmtId="0" fontId="12" fillId="0" borderId="12" xfId="0" applyFont="1" applyBorder="1"/>
    <xf numFmtId="9" fontId="13" fillId="0" borderId="2" xfId="0" applyNumberFormat="1" applyFont="1" applyFill="1" applyBorder="1" applyAlignment="1">
      <alignment horizontal="left"/>
    </xf>
    <xf numFmtId="9" fontId="13" fillId="0" borderId="0" xfId="2" applyFont="1" applyBorder="1"/>
    <xf numFmtId="43" fontId="12" fillId="0" borderId="0" xfId="1" applyFont="1"/>
    <xf numFmtId="43" fontId="12" fillId="0" borderId="0" xfId="0" applyNumberFormat="1" applyFont="1"/>
    <xf numFmtId="166" fontId="12" fillId="0" borderId="0" xfId="0" applyNumberFormat="1" applyFont="1"/>
    <xf numFmtId="0" fontId="16" fillId="0" borderId="4" xfId="0" applyFont="1" applyBorder="1"/>
    <xf numFmtId="9" fontId="10" fillId="0" borderId="12" xfId="2" applyFont="1" applyFill="1" applyBorder="1"/>
    <xf numFmtId="0" fontId="12" fillId="0" borderId="1" xfId="0" applyFont="1" applyFill="1" applyBorder="1"/>
    <xf numFmtId="0" fontId="13" fillId="0" borderId="2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2" fillId="0" borderId="0" xfId="0" applyFont="1" applyBorder="1"/>
    <xf numFmtId="43" fontId="12" fillId="0" borderId="0" xfId="0" applyNumberFormat="1" applyFont="1" applyBorder="1"/>
    <xf numFmtId="0" fontId="13" fillId="0" borderId="0" xfId="0" applyFont="1" applyBorder="1" applyAlignment="1">
      <alignment horizontal="left"/>
    </xf>
    <xf numFmtId="166" fontId="12" fillId="0" borderId="0" xfId="0" applyNumberFormat="1" applyFont="1" applyBorder="1"/>
    <xf numFmtId="9" fontId="17" fillId="0" borderId="0" xfId="2" applyFont="1" applyBorder="1" applyAlignment="1">
      <alignment horizontal="left"/>
    </xf>
    <xf numFmtId="43" fontId="12" fillId="0" borderId="0" xfId="1" applyFont="1" applyBorder="1"/>
    <xf numFmtId="9" fontId="18" fillId="0" borderId="7" xfId="2" applyFont="1" applyBorder="1"/>
    <xf numFmtId="9" fontId="18" fillId="0" borderId="0" xfId="2" applyFont="1" applyBorder="1"/>
    <xf numFmtId="0" fontId="19" fillId="0" borderId="0" xfId="0" applyFont="1"/>
    <xf numFmtId="0" fontId="19" fillId="0" borderId="0" xfId="0" applyFont="1" applyBorder="1"/>
    <xf numFmtId="0" fontId="2" fillId="0" borderId="0" xfId="89"/>
    <xf numFmtId="167" fontId="12" fillId="0" borderId="0" xfId="0" applyNumberFormat="1" applyFont="1"/>
    <xf numFmtId="0" fontId="15" fillId="0" borderId="4" xfId="0" applyFont="1" applyBorder="1" applyAlignment="1">
      <alignment horizontal="right"/>
    </xf>
    <xf numFmtId="9" fontId="21" fillId="0" borderId="7" xfId="2" applyFont="1" applyBorder="1"/>
    <xf numFmtId="9" fontId="21" fillId="0" borderId="9" xfId="2" applyFont="1" applyBorder="1"/>
    <xf numFmtId="0" fontId="4" fillId="0" borderId="10" xfId="0" applyFont="1" applyBorder="1"/>
    <xf numFmtId="167" fontId="4" fillId="0" borderId="10" xfId="1" applyNumberFormat="1" applyFont="1" applyBorder="1"/>
    <xf numFmtId="167" fontId="4" fillId="0" borderId="11" xfId="1" applyNumberFormat="1" applyFont="1" applyBorder="1"/>
    <xf numFmtId="9" fontId="21" fillId="0" borderId="4" xfId="2" applyFont="1" applyBorder="1"/>
    <xf numFmtId="9" fontId="21" fillId="0" borderId="7" xfId="2" applyFont="1" applyFill="1" applyBorder="1"/>
    <xf numFmtId="167" fontId="4" fillId="0" borderId="0" xfId="1" applyNumberFormat="1" applyFont="1" applyFill="1" applyBorder="1"/>
    <xf numFmtId="167" fontId="4" fillId="0" borderId="8" xfId="1" applyNumberFormat="1" applyFont="1" applyFill="1" applyBorder="1"/>
    <xf numFmtId="167" fontId="4" fillId="0" borderId="0" xfId="2" applyNumberFormat="1" applyFont="1" applyFill="1" applyBorder="1"/>
    <xf numFmtId="164" fontId="4" fillId="0" borderId="0" xfId="1" applyNumberFormat="1" applyFont="1" applyFill="1" applyBorder="1"/>
    <xf numFmtId="164" fontId="4" fillId="0" borderId="8" xfId="1" applyNumberFormat="1" applyFont="1" applyFill="1" applyBorder="1"/>
    <xf numFmtId="9" fontId="4" fillId="0" borderId="0" xfId="2" applyFont="1" applyFill="1" applyBorder="1"/>
    <xf numFmtId="9" fontId="4" fillId="0" borderId="8" xfId="2" applyFont="1" applyFill="1" applyBorder="1"/>
    <xf numFmtId="43" fontId="4" fillId="0" borderId="0" xfId="1" applyFont="1" applyFill="1" applyBorder="1"/>
    <xf numFmtId="43" fontId="4" fillId="0" borderId="8" xfId="1" applyFont="1" applyFill="1" applyBorder="1"/>
    <xf numFmtId="9" fontId="21" fillId="0" borderId="9" xfId="2" applyFont="1" applyFill="1" applyBorder="1"/>
    <xf numFmtId="43" fontId="0" fillId="0" borderId="0" xfId="1" applyFont="1"/>
    <xf numFmtId="9" fontId="21" fillId="0" borderId="0" xfId="2" applyFont="1" applyBorder="1"/>
    <xf numFmtId="0" fontId="0" fillId="0" borderId="1" xfId="0" applyBorder="1"/>
    <xf numFmtId="43" fontId="0" fillId="0" borderId="0" xfId="0" applyNumberFormat="1"/>
    <xf numFmtId="166" fontId="0" fillId="0" borderId="0" xfId="0" applyNumberFormat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165" fontId="4" fillId="0" borderId="0" xfId="2" applyNumberFormat="1" applyFont="1" applyFill="1" applyBorder="1"/>
    <xf numFmtId="165" fontId="4" fillId="0" borderId="8" xfId="2" applyNumberFormat="1" applyFont="1" applyFill="1" applyBorder="1"/>
    <xf numFmtId="0" fontId="5" fillId="3" borderId="7" xfId="0" applyFont="1" applyFill="1" applyBorder="1"/>
    <xf numFmtId="0" fontId="5" fillId="2" borderId="0" xfId="0" applyFont="1" applyFill="1"/>
    <xf numFmtId="165" fontId="22" fillId="2" borderId="0" xfId="2" applyNumberFormat="1" applyFont="1" applyFill="1" applyBorder="1"/>
    <xf numFmtId="165" fontId="22" fillId="2" borderId="8" xfId="2" applyNumberFormat="1" applyFont="1" applyFill="1" applyBorder="1"/>
    <xf numFmtId="0" fontId="5" fillId="2" borderId="10" xfId="0" applyFont="1" applyFill="1" applyBorder="1"/>
    <xf numFmtId="0" fontId="4" fillId="0" borderId="0" xfId="0" applyFont="1" applyFill="1"/>
    <xf numFmtId="9" fontId="5" fillId="2" borderId="0" xfId="2" applyFont="1" applyFill="1" applyBorder="1"/>
    <xf numFmtId="9" fontId="5" fillId="2" borderId="8" xfId="2" applyFont="1" applyFill="1" applyBorder="1"/>
    <xf numFmtId="0" fontId="5" fillId="0" borderId="0" xfId="0" applyFont="1" applyFill="1"/>
    <xf numFmtId="0" fontId="20" fillId="0" borderId="2" xfId="0" applyFont="1" applyBorder="1" applyAlignment="1">
      <alignment horizontal="left"/>
    </xf>
    <xf numFmtId="9" fontId="20" fillId="0" borderId="2" xfId="0" applyNumberFormat="1" applyFont="1" applyBorder="1" applyAlignment="1">
      <alignment horizontal="left"/>
    </xf>
    <xf numFmtId="0" fontId="10" fillId="0" borderId="12" xfId="0" applyFont="1" applyBorder="1" applyAlignment="1">
      <alignment vertical="center"/>
    </xf>
    <xf numFmtId="0" fontId="21" fillId="0" borderId="3" xfId="0" applyFont="1" applyBorder="1" applyAlignment="1">
      <alignment horizontal="left"/>
    </xf>
    <xf numFmtId="0" fontId="21" fillId="0" borderId="7" xfId="0" applyFont="1" applyBorder="1" applyAlignment="1"/>
    <xf numFmtId="0" fontId="21" fillId="0" borderId="2" xfId="2" applyNumberFormat="1" applyFont="1" applyFill="1" applyBorder="1" applyAlignment="1">
      <alignment horizontal="left" vertical="center"/>
    </xf>
    <xf numFmtId="0" fontId="21" fillId="0" borderId="2" xfId="2" applyNumberFormat="1" applyFont="1" applyFill="1" applyBorder="1" applyAlignment="1">
      <alignment horizontal="left"/>
    </xf>
    <xf numFmtId="9" fontId="21" fillId="0" borderId="2" xfId="2" applyFont="1" applyFill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90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89BFFF"/>
      <color rgb="FF535187"/>
      <color rgb="FF40C4F3"/>
      <color rgb="FF1E385B"/>
      <color rgb="FFC8DA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Over</a:t>
            </a:r>
            <a:r>
              <a:rPr lang="en-US" sz="1600" b="1" baseline="0"/>
              <a:t> the Long-Term, Capitalizing Expenses Has No Impact on ROIC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496225528124249E-2"/>
          <c:y val="0.14553957892943697"/>
          <c:w val="0.88795040781124535"/>
          <c:h val="0.66118880267464164"/>
        </c:manualLayout>
      </c:layout>
      <c:lineChart>
        <c:grouping val="standard"/>
        <c:varyColors val="0"/>
        <c:ser>
          <c:idx val="0"/>
          <c:order val="0"/>
          <c:tx>
            <c:strRef>
              <c:f>'AllScenarios - ROIC &amp; FCFcharts'!$B$16</c:f>
              <c:strCache>
                <c:ptCount val="1"/>
                <c:pt idx="0">
                  <c:v>ROIC Scenario 1</c:v>
                </c:pt>
              </c:strCache>
            </c:strRef>
          </c:tx>
          <c:spPr>
            <a:ln w="47625" cap="rnd">
              <a:solidFill>
                <a:srgbClr val="1E385B"/>
              </a:solidFill>
              <a:round/>
            </a:ln>
            <a:effectLst/>
          </c:spPr>
          <c:marker>
            <c:symbol val="none"/>
          </c:marker>
          <c:cat>
            <c:strRef>
              <c:f>'AllScenarios - ROIC &amp; FCFcharts'!$C$1:$M$1</c:f>
              <c:strCache>
                <c:ptCount val="1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</c:strCache>
            </c:strRef>
          </c:cat>
          <c:val>
            <c:numRef>
              <c:f>'AllScenarios - ROIC &amp; FCFcharts'!$C$16:$M$16</c:f>
              <c:numCache>
                <c:formatCode>0.0%</c:formatCode>
                <c:ptCount val="11"/>
                <c:pt idx="0">
                  <c:v>7.0675105485232065E-2</c:v>
                </c:pt>
                <c:pt idx="1">
                  <c:v>7.2620291874733844E-2</c:v>
                </c:pt>
                <c:pt idx="2">
                  <c:v>7.4619015504313685E-2</c:v>
                </c:pt>
                <c:pt idx="3">
                  <c:v>7.6672749875992069E-2</c:v>
                </c:pt>
                <c:pt idx="4">
                  <c:v>7.8783009046890909E-2</c:v>
                </c:pt>
                <c:pt idx="5">
                  <c:v>8.0951348745429169E-2</c:v>
                </c:pt>
                <c:pt idx="6">
                  <c:v>8.317936751823915E-2</c:v>
                </c:pt>
                <c:pt idx="7">
                  <c:v>8.5468707908649438E-2</c:v>
                </c:pt>
                <c:pt idx="8">
                  <c:v>8.782105766760312E-2</c:v>
                </c:pt>
                <c:pt idx="9">
                  <c:v>9.0238150997904082E-2</c:v>
                </c:pt>
                <c:pt idx="10">
                  <c:v>9.27217698327088E-2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1-0449-BE0A-A30FCEAC8DE7}"/>
            </c:ext>
          </c:extLst>
        </c:ser>
        <c:ser>
          <c:idx val="1"/>
          <c:order val="1"/>
          <c:tx>
            <c:strRef>
              <c:f>'AllScenarios - ROIC &amp; FCFcharts'!$B$44</c:f>
              <c:strCache>
                <c:ptCount val="1"/>
                <c:pt idx="0">
                  <c:v>ROIC Scenario 2</c:v>
                </c:pt>
              </c:strCache>
            </c:strRef>
          </c:tx>
          <c:spPr>
            <a:ln w="47625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'AllScenarios - ROIC &amp; FCFcharts'!$C$1:$M$1</c:f>
              <c:strCache>
                <c:ptCount val="1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</c:strCache>
            </c:strRef>
          </c:cat>
          <c:val>
            <c:numRef>
              <c:f>'AllScenarios - ROIC &amp; FCFcharts'!$C$44:$M$44</c:f>
              <c:numCache>
                <c:formatCode>0%</c:formatCode>
                <c:ptCount val="11"/>
                <c:pt idx="0">
                  <c:v>0.21057347670250895</c:v>
                </c:pt>
                <c:pt idx="1">
                  <c:v>0.15790890331070373</c:v>
                </c:pt>
                <c:pt idx="2">
                  <c:v>0.12053994244202076</c:v>
                </c:pt>
                <c:pt idx="3">
                  <c:v>0.1019841723975345</c:v>
                </c:pt>
                <c:pt idx="4">
                  <c:v>8.6973808363621105E-2</c:v>
                </c:pt>
                <c:pt idx="5">
                  <c:v>8.8662794811947609E-2</c:v>
                </c:pt>
                <c:pt idx="6">
                  <c:v>9.0370740250842366E-2</c:v>
                </c:pt>
                <c:pt idx="7">
                  <c:v>9.2097325675924074E-2</c:v>
                </c:pt>
                <c:pt idx="8">
                  <c:v>9.3842211195433262E-2</c:v>
                </c:pt>
                <c:pt idx="9">
                  <c:v>9.5605036045613684E-2</c:v>
                </c:pt>
                <c:pt idx="10">
                  <c:v>9.7385418650691363E-2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1-0449-BE0A-A30FCEAC8DE7}"/>
            </c:ext>
          </c:extLst>
        </c:ser>
        <c:ser>
          <c:idx val="3"/>
          <c:order val="2"/>
          <c:tx>
            <c:strRef>
              <c:f>'AllScenarios - ROIC &amp; FCFcharts'!$B$59</c:f>
              <c:strCache>
                <c:ptCount val="1"/>
                <c:pt idx="0">
                  <c:v>ROIC Scenario 3</c:v>
                </c:pt>
              </c:strCache>
            </c:strRef>
          </c:tx>
          <c:spPr>
            <a:ln w="47625" cap="rnd">
              <a:solidFill>
                <a:srgbClr val="40C4F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'AllScenarios - ROIC &amp; FCFcharts'!$C$1:$M$1</c:f>
              <c:strCache>
                <c:ptCount val="1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</c:strCache>
            </c:strRef>
          </c:cat>
          <c:val>
            <c:numRef>
              <c:f>'AllScenarios - ROIC &amp; FCFcharts'!$C$59:$M$59</c:f>
              <c:numCache>
                <c:formatCode>0%</c:formatCode>
                <c:ptCount val="11"/>
                <c:pt idx="0">
                  <c:v>0.1082995951417004</c:v>
                </c:pt>
                <c:pt idx="1">
                  <c:v>9.0919025243142798E-2</c:v>
                </c:pt>
                <c:pt idx="2">
                  <c:v>7.6587870762305402E-2</c:v>
                </c:pt>
                <c:pt idx="3">
                  <c:v>7.8564895137775426E-2</c:v>
                </c:pt>
                <c:pt idx="4">
                  <c:v>8.0589493731924394E-2</c:v>
                </c:pt>
                <c:pt idx="5">
                  <c:v>8.2662631176905407E-2</c:v>
                </c:pt>
                <c:pt idx="6">
                  <c:v>8.4785282271942305E-2</c:v>
                </c:pt>
                <c:pt idx="7">
                  <c:v>8.6958431562316918E-2</c:v>
                </c:pt>
                <c:pt idx="8">
                  <c:v>8.9183072882797504E-2</c:v>
                </c:pt>
                <c:pt idx="9">
                  <c:v>9.1460208864182005E-2</c:v>
                </c:pt>
                <c:pt idx="10">
                  <c:v>9.3790850401632403E-2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1-0449-BE0A-A30FCEAC8DE7}"/>
            </c:ext>
          </c:extLst>
        </c:ser>
        <c:ser>
          <c:idx val="2"/>
          <c:order val="3"/>
          <c:tx>
            <c:strRef>
              <c:f>'AllScenarios - ROIC &amp; FCFcharts'!$B$74</c:f>
              <c:strCache>
                <c:ptCount val="1"/>
                <c:pt idx="0">
                  <c:v>ROIC Scenario 4</c:v>
                </c:pt>
              </c:strCache>
            </c:strRef>
          </c:tx>
          <c:spPr>
            <a:ln w="476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'AllScenarios - ROIC &amp; FCFcharts'!$C$1:$M$1</c:f>
              <c:strCache>
                <c:ptCount val="1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</c:strCache>
            </c:strRef>
          </c:cat>
          <c:val>
            <c:numRef>
              <c:f>'AllScenarios - ROIC &amp; FCFcharts'!$C$74:$M$74</c:f>
              <c:numCache>
                <c:formatCode>0%</c:formatCode>
                <c:ptCount val="11"/>
                <c:pt idx="0">
                  <c:v>0.18122676579925651</c:v>
                </c:pt>
                <c:pt idx="1">
                  <c:v>0.14646258289593614</c:v>
                </c:pt>
                <c:pt idx="2">
                  <c:v>0.1212066357561221</c:v>
                </c:pt>
                <c:pt idx="3">
                  <c:v>0.10172717374905346</c:v>
                </c:pt>
                <c:pt idx="4">
                  <c:v>8.5948346151053776E-2</c:v>
                </c:pt>
                <c:pt idx="5">
                  <c:v>8.7704013368365516E-2</c:v>
                </c:pt>
                <c:pt idx="6">
                  <c:v>8.9482920602844643E-2</c:v>
                </c:pt>
                <c:pt idx="7">
                  <c:v>9.1284863735036956E-2</c:v>
                </c:pt>
                <c:pt idx="8">
                  <c:v>9.3109616128027262E-2</c:v>
                </c:pt>
                <c:pt idx="9">
                  <c:v>9.4956928348455372E-2</c:v>
                </c:pt>
                <c:pt idx="10">
                  <c:v>9.6826527925907749E-2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1-0449-BE0A-A30FCEAC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324111"/>
        <c:axId val="1933080191"/>
      </c:lineChart>
      <c:catAx>
        <c:axId val="195932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3080191"/>
        <c:crosses val="autoZero"/>
        <c:auto val="1"/>
        <c:lblAlgn val="ctr"/>
        <c:lblOffset val="100"/>
        <c:noMultiLvlLbl val="0"/>
      </c:catAx>
      <c:valAx>
        <c:axId val="1933080191"/>
        <c:scaling>
          <c:orientation val="minMax"/>
          <c:min val="5.000000000000001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ROIC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932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Capitalizing Has No Impact on FCF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496225528124249E-2"/>
          <c:y val="0.14553957892943697"/>
          <c:w val="0.88795040781124535"/>
          <c:h val="0.66118880267464164"/>
        </c:manualLayout>
      </c:layout>
      <c:lineChart>
        <c:grouping val="standard"/>
        <c:varyColors val="0"/>
        <c:ser>
          <c:idx val="0"/>
          <c:order val="0"/>
          <c:tx>
            <c:strRef>
              <c:f>'AllScenarios - ROIC &amp; FCFcharts'!$B$20</c:f>
              <c:strCache>
                <c:ptCount val="1"/>
                <c:pt idx="0">
                  <c:v>FCF Scenario 1</c:v>
                </c:pt>
              </c:strCache>
            </c:strRef>
          </c:tx>
          <c:spPr>
            <a:ln w="47625" cap="rnd">
              <a:solidFill>
                <a:srgbClr val="1E385B"/>
              </a:solidFill>
              <a:round/>
            </a:ln>
            <a:effectLst/>
          </c:spPr>
          <c:marker>
            <c:symbol val="none"/>
          </c:marker>
          <c:cat>
            <c:numRef>
              <c:f>'AllScenarios - ROIC &amp; FCFcharts'!$C$2:$M$2</c:f>
              <c:numCache>
                <c:formatCode>General</c:formatCode>
                <c:ptCount val="11"/>
              </c:numCache>
            </c:numRef>
          </c:cat>
          <c:val>
            <c:numRef>
              <c:f>'AllScenarios - ROIC &amp; FCFcharts'!$C$20:$M$20</c:f>
              <c:numCache>
                <c:formatCode>"$"#,##0_);[Red]\("$"#,##0\)</c:formatCode>
                <c:ptCount val="11"/>
                <c:pt idx="1">
                  <c:v>-2.5700000000000429</c:v>
                </c:pt>
                <c:pt idx="2">
                  <c:v>-2.2385000000000197</c:v>
                </c:pt>
                <c:pt idx="3">
                  <c:v>-1.8096289999999939</c:v>
                </c:pt>
                <c:pt idx="4">
                  <c:v>-1.2665192900000086</c:v>
                </c:pt>
                <c:pt idx="5">
                  <c:v>-0.58981254770003488</c:v>
                </c:pt>
                <c:pt idx="6">
                  <c:v>0.24268101881495596</c:v>
                </c:pt>
                <c:pt idx="7">
                  <c:v>1.2563682098132887</c:v>
                </c:pt>
                <c:pt idx="8">
                  <c:v>2.4803087559180383</c:v>
                </c:pt>
                <c:pt idx="9">
                  <c:v>3.9477080400388189</c:v>
                </c:pt>
                <c:pt idx="10">
                  <c:v>5.696473839261003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6-A445-BB5F-B97C1B060244}"/>
            </c:ext>
          </c:extLst>
        </c:ser>
        <c:ser>
          <c:idx val="1"/>
          <c:order val="1"/>
          <c:tx>
            <c:strRef>
              <c:f>'AllScenarios - ROIC &amp; FCFcharts'!$B$48</c:f>
              <c:strCache>
                <c:ptCount val="1"/>
                <c:pt idx="0">
                  <c:v>FCF Scenario 2</c:v>
                </c:pt>
              </c:strCache>
            </c:strRef>
          </c:tx>
          <c:spPr>
            <a:ln w="47625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'AllScenarios - ROIC &amp; FCFcharts'!$C$2:$M$2</c:f>
              <c:numCache>
                <c:formatCode>General</c:formatCode>
                <c:ptCount val="11"/>
              </c:numCache>
            </c:numRef>
          </c:cat>
          <c:val>
            <c:numRef>
              <c:f>'AllScenarios - ROIC &amp; FCFcharts'!$C$48:$M$48</c:f>
              <c:numCache>
                <c:formatCode>"$"#,##0_);[Red]\("$"#,##0\)</c:formatCode>
                <c:ptCount val="11"/>
                <c:pt idx="1">
                  <c:v>-2.57000000000005</c:v>
                </c:pt>
                <c:pt idx="2">
                  <c:v>-2.2384999999999877</c:v>
                </c:pt>
                <c:pt idx="3">
                  <c:v>-1.8096289999999655</c:v>
                </c:pt>
                <c:pt idx="4">
                  <c:v>-1.2665192900000619</c:v>
                </c:pt>
                <c:pt idx="5">
                  <c:v>-0.58981254769994962</c:v>
                </c:pt>
                <c:pt idx="6">
                  <c:v>0.24268101881488491</c:v>
                </c:pt>
                <c:pt idx="7">
                  <c:v>1.2563682098134308</c:v>
                </c:pt>
                <c:pt idx="8">
                  <c:v>2.480308755917946</c:v>
                </c:pt>
                <c:pt idx="9">
                  <c:v>3.9477080400388758</c:v>
                </c:pt>
                <c:pt idx="10">
                  <c:v>5.696473839261003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6-A445-BB5F-B97C1B060244}"/>
            </c:ext>
          </c:extLst>
        </c:ser>
        <c:ser>
          <c:idx val="3"/>
          <c:order val="2"/>
          <c:tx>
            <c:strRef>
              <c:f>'AllScenarios - ROIC &amp; FCFcharts'!$B$63</c:f>
              <c:strCache>
                <c:ptCount val="1"/>
                <c:pt idx="0">
                  <c:v>FCF Scenario 3</c:v>
                </c:pt>
              </c:strCache>
            </c:strRef>
          </c:tx>
          <c:spPr>
            <a:ln w="44450" cap="rnd">
              <a:solidFill>
                <a:srgbClr val="40C4F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'AllScenarios - ROIC &amp; FCFcharts'!$C$2:$M$2</c:f>
              <c:numCache>
                <c:formatCode>General</c:formatCode>
                <c:ptCount val="11"/>
              </c:numCache>
            </c:numRef>
          </c:cat>
          <c:val>
            <c:numRef>
              <c:f>'AllScenarios - ROIC &amp; FCFcharts'!$C$63:$M$63</c:f>
              <c:numCache>
                <c:formatCode>"$"#,##0_);[Red]\("$"#,##0\)</c:formatCode>
                <c:ptCount val="11"/>
                <c:pt idx="1">
                  <c:v>-2.5700000000000358</c:v>
                </c:pt>
                <c:pt idx="2">
                  <c:v>-2.2385000000000339</c:v>
                </c:pt>
                <c:pt idx="3">
                  <c:v>-1.8096289999999939</c:v>
                </c:pt>
                <c:pt idx="4">
                  <c:v>-1.2665192899999873</c:v>
                </c:pt>
                <c:pt idx="5">
                  <c:v>-0.58981254770003488</c:v>
                </c:pt>
                <c:pt idx="6">
                  <c:v>0.24268101881494175</c:v>
                </c:pt>
                <c:pt idx="7">
                  <c:v>1.2563682098132816</c:v>
                </c:pt>
                <c:pt idx="8">
                  <c:v>2.4803087559180099</c:v>
                </c:pt>
                <c:pt idx="9">
                  <c:v>3.9477080400388473</c:v>
                </c:pt>
                <c:pt idx="10">
                  <c:v>5.6964738392609462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6-A445-BB5F-B97C1B060244}"/>
            </c:ext>
          </c:extLst>
        </c:ser>
        <c:ser>
          <c:idx val="2"/>
          <c:order val="3"/>
          <c:tx>
            <c:strRef>
              <c:f>'AllScenarios - ROIC &amp; FCFcharts'!$B$78</c:f>
              <c:strCache>
                <c:ptCount val="1"/>
                <c:pt idx="0">
                  <c:v>FCF Scenario 4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'AllScenarios - ROIC &amp; FCFcharts'!$C$2:$M$2</c:f>
              <c:numCache>
                <c:formatCode>General</c:formatCode>
                <c:ptCount val="11"/>
              </c:numCache>
            </c:numRef>
          </c:cat>
          <c:val>
            <c:numRef>
              <c:f>'AllScenarios - ROIC &amp; FCFcharts'!$C$78:$M$78</c:f>
              <c:numCache>
                <c:formatCode>"$"#,##0_);[Red]\("$"#,##0\)</c:formatCode>
                <c:ptCount val="11"/>
                <c:pt idx="1">
                  <c:v>-2.5700000000000642</c:v>
                </c:pt>
                <c:pt idx="2">
                  <c:v>-2.2384999999999877</c:v>
                </c:pt>
                <c:pt idx="3">
                  <c:v>-1.8096289999999655</c:v>
                </c:pt>
                <c:pt idx="4">
                  <c:v>-1.2665192900000193</c:v>
                </c:pt>
                <c:pt idx="5">
                  <c:v>-0.58981254770000646</c:v>
                </c:pt>
                <c:pt idx="6">
                  <c:v>0.24268101881495596</c:v>
                </c:pt>
                <c:pt idx="7">
                  <c:v>1.2563682098133881</c:v>
                </c:pt>
                <c:pt idx="8">
                  <c:v>2.4803087559180383</c:v>
                </c:pt>
                <c:pt idx="9">
                  <c:v>3.9477080400387905</c:v>
                </c:pt>
                <c:pt idx="10">
                  <c:v>5.6964738392609462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6-A445-BB5F-B97C1B060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324111"/>
        <c:axId val="1933080191"/>
      </c:lineChart>
      <c:catAx>
        <c:axId val="195932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3080191"/>
        <c:crosses val="autoZero"/>
        <c:auto val="1"/>
        <c:lblAlgn val="ctr"/>
        <c:lblOffset val="100"/>
        <c:noMultiLvlLbl val="0"/>
      </c:catAx>
      <c:valAx>
        <c:axId val="19330801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Free Cash Flow (FCF)</a:t>
                </a:r>
              </a:p>
            </c:rich>
          </c:tx>
          <c:layout>
            <c:manualLayout>
              <c:xMode val="edge"/>
              <c:yMode val="edge"/>
              <c:x val="1.3072453705539715E-2"/>
              <c:y val="0.31891513669527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_);[Red]\(&quot;$&quot;#,##0\)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932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ewconstructs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ewconstructs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ewconstructs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ewconstructs.com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constructs.com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11981</xdr:colOff>
      <xdr:row>0</xdr:row>
      <xdr:rowOff>203679</xdr:rowOff>
    </xdr:from>
    <xdr:to>
      <xdr:col>1</xdr:col>
      <xdr:colOff>1277189</xdr:colOff>
      <xdr:row>0</xdr:row>
      <xdr:rowOff>864079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5FF5A1-BB73-E24C-BA08-74739FA6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1" y="203679"/>
          <a:ext cx="330200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11981</xdr:colOff>
      <xdr:row>0</xdr:row>
      <xdr:rowOff>155755</xdr:rowOff>
    </xdr:from>
    <xdr:to>
      <xdr:col>1</xdr:col>
      <xdr:colOff>1277189</xdr:colOff>
      <xdr:row>0</xdr:row>
      <xdr:rowOff>816155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32AC01-20E6-A043-BDBB-8EA908DD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1" y="155755"/>
          <a:ext cx="3297208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11981</xdr:colOff>
      <xdr:row>0</xdr:row>
      <xdr:rowOff>155755</xdr:rowOff>
    </xdr:from>
    <xdr:to>
      <xdr:col>1</xdr:col>
      <xdr:colOff>1277189</xdr:colOff>
      <xdr:row>0</xdr:row>
      <xdr:rowOff>816155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236ED2-B203-B24B-98F4-761D15410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1" y="155755"/>
          <a:ext cx="3297208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11981</xdr:colOff>
      <xdr:row>0</xdr:row>
      <xdr:rowOff>155755</xdr:rowOff>
    </xdr:from>
    <xdr:to>
      <xdr:col>1</xdr:col>
      <xdr:colOff>1277189</xdr:colOff>
      <xdr:row>0</xdr:row>
      <xdr:rowOff>816155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DDACA-0BCE-1C49-8640-D9AB147CC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1" y="155755"/>
          <a:ext cx="3297208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11979</xdr:colOff>
      <xdr:row>3</xdr:row>
      <xdr:rowOff>11980</xdr:rowOff>
    </xdr:from>
    <xdr:to>
      <xdr:col>44</xdr:col>
      <xdr:colOff>826698</xdr:colOff>
      <xdr:row>22</xdr:row>
      <xdr:rowOff>95850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4709C1-CB7B-7B42-88D0-4461CB283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239623</xdr:colOff>
      <xdr:row>25</xdr:row>
      <xdr:rowOff>155753</xdr:rowOff>
    </xdr:from>
    <xdr:to>
      <xdr:col>44</xdr:col>
      <xdr:colOff>623019</xdr:colOff>
      <xdr:row>44</xdr:row>
      <xdr:rowOff>23962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CF7985-9D43-EC47-8D76-625BF68B3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0</xdr:row>
      <xdr:rowOff>263585</xdr:rowOff>
    </xdr:from>
    <xdr:to>
      <xdr:col>0</xdr:col>
      <xdr:colOff>3302000</xdr:colOff>
      <xdr:row>0</xdr:row>
      <xdr:rowOff>923985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47873E-DBEF-B44A-BC41-294174A9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585"/>
          <a:ext cx="330200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ewconstructs.com/membershi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newconstructs.com/membershi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newconstructs.com/membership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newconstructs.com/membership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newconstructs.com/membersh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57673-914D-5A44-A792-678579E7A87B}">
  <dimension ref="A1:BC98"/>
  <sheetViews>
    <sheetView showGridLines="0" tabSelected="1" zoomScale="106" workbookViewId="0">
      <pane ySplit="1" topLeftCell="A2" activePane="bottomLeft" state="frozen"/>
      <selection pane="bottomLeft" activeCell="B26" sqref="B26"/>
    </sheetView>
  </sheetViews>
  <sheetFormatPr baseColWidth="10" defaultRowHeight="16" x14ac:dyDescent="0.2"/>
  <cols>
    <col min="1" max="1" width="26.6640625" style="57" customWidth="1"/>
    <col min="2" max="2" width="48.5" style="1" customWidth="1"/>
    <col min="3" max="13" width="10.83203125" style="1"/>
    <col min="14" max="34" width="0" style="57" hidden="1" customWidth="1"/>
    <col min="35" max="35" width="10.83203125" style="57"/>
    <col min="36" max="36" width="18.6640625" style="58" bestFit="1" customWidth="1"/>
    <col min="37" max="47" width="10.83203125" style="58"/>
    <col min="48" max="16384" width="10.83203125" style="57"/>
  </cols>
  <sheetData>
    <row r="1" spans="1:48" ht="91" customHeight="1" x14ac:dyDescent="0.2">
      <c r="B1" s="23"/>
      <c r="C1" s="41" t="s">
        <v>18</v>
      </c>
      <c r="D1" s="41" t="s">
        <v>19</v>
      </c>
      <c r="E1" s="41" t="s">
        <v>20</v>
      </c>
      <c r="F1" s="41" t="s">
        <v>21</v>
      </c>
      <c r="G1" s="41" t="s">
        <v>22</v>
      </c>
      <c r="H1" s="41" t="s">
        <v>23</v>
      </c>
      <c r="I1" s="41" t="s">
        <v>24</v>
      </c>
      <c r="J1" s="41" t="s">
        <v>25</v>
      </c>
      <c r="K1" s="41" t="s">
        <v>26</v>
      </c>
      <c r="L1" s="41" t="s">
        <v>27</v>
      </c>
      <c r="M1" s="42" t="s">
        <v>28</v>
      </c>
    </row>
    <row r="2" spans="1:48" ht="14" customHeight="1" x14ac:dyDescent="0.2">
      <c r="A2" s="63" t="s">
        <v>34</v>
      </c>
      <c r="B2" s="133" t="s">
        <v>35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48" x14ac:dyDescent="0.2">
      <c r="A3" s="81">
        <v>0.12</v>
      </c>
      <c r="B3" s="49" t="s">
        <v>0</v>
      </c>
      <c r="C3" s="50">
        <v>100</v>
      </c>
      <c r="D3" s="50">
        <f>C3*(1+$A$3)</f>
        <v>112.00000000000001</v>
      </c>
      <c r="E3" s="50">
        <f t="shared" ref="E3:M3" si="0">D3*(1+$A$3)</f>
        <v>125.44000000000003</v>
      </c>
      <c r="F3" s="50">
        <f t="shared" si="0"/>
        <v>140.49280000000005</v>
      </c>
      <c r="G3" s="50">
        <f t="shared" si="0"/>
        <v>157.35193600000005</v>
      </c>
      <c r="H3" s="50">
        <f t="shared" si="0"/>
        <v>176.23416832000007</v>
      </c>
      <c r="I3" s="50">
        <f t="shared" si="0"/>
        <v>197.38226851840008</v>
      </c>
      <c r="J3" s="50">
        <f t="shared" si="0"/>
        <v>221.0681407406081</v>
      </c>
      <c r="K3" s="50">
        <f t="shared" si="0"/>
        <v>247.59631762948109</v>
      </c>
      <c r="L3" s="50">
        <f t="shared" si="0"/>
        <v>277.30787574501886</v>
      </c>
      <c r="M3" s="51">
        <f t="shared" si="0"/>
        <v>310.58482083442118</v>
      </c>
      <c r="AJ3" s="16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"/>
    </row>
    <row r="4" spans="1:48" x14ac:dyDescent="0.2">
      <c r="A4" s="81">
        <v>0.2</v>
      </c>
      <c r="B4" s="3" t="s">
        <v>1</v>
      </c>
      <c r="C4" s="26">
        <f>C$3*$A4</f>
        <v>20</v>
      </c>
      <c r="D4" s="26">
        <f t="shared" ref="D4:M6" si="1">D$3*$A4</f>
        <v>22.400000000000006</v>
      </c>
      <c r="E4" s="26">
        <f t="shared" si="1"/>
        <v>25.088000000000008</v>
      </c>
      <c r="F4" s="26">
        <f t="shared" si="1"/>
        <v>28.09856000000001</v>
      </c>
      <c r="G4" s="26">
        <f t="shared" si="1"/>
        <v>31.470387200000012</v>
      </c>
      <c r="H4" s="26">
        <f t="shared" si="1"/>
        <v>35.246833664000015</v>
      </c>
      <c r="I4" s="26">
        <f t="shared" si="1"/>
        <v>39.476453703680022</v>
      </c>
      <c r="J4" s="26">
        <f t="shared" si="1"/>
        <v>44.213628148121622</v>
      </c>
      <c r="K4" s="26">
        <f t="shared" si="1"/>
        <v>49.519263525896221</v>
      </c>
      <c r="L4" s="26">
        <f t="shared" si="1"/>
        <v>55.461575149003778</v>
      </c>
      <c r="M4" s="27">
        <f t="shared" si="1"/>
        <v>62.116964166884237</v>
      </c>
      <c r="AJ4" s="18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"/>
    </row>
    <row r="5" spans="1:48" x14ac:dyDescent="0.2">
      <c r="A5" s="81">
        <v>0.4</v>
      </c>
      <c r="B5" s="3" t="s">
        <v>2</v>
      </c>
      <c r="C5" s="26">
        <f>C$3*$A5</f>
        <v>40</v>
      </c>
      <c r="D5" s="26">
        <f t="shared" si="1"/>
        <v>44.800000000000011</v>
      </c>
      <c r="E5" s="26">
        <f t="shared" si="1"/>
        <v>50.176000000000016</v>
      </c>
      <c r="F5" s="26">
        <f t="shared" si="1"/>
        <v>56.19712000000002</v>
      </c>
      <c r="G5" s="26">
        <f t="shared" si="1"/>
        <v>62.940774400000024</v>
      </c>
      <c r="H5" s="26">
        <f t="shared" si="1"/>
        <v>70.493667328000029</v>
      </c>
      <c r="I5" s="26">
        <f t="shared" si="1"/>
        <v>78.952907407360044</v>
      </c>
      <c r="J5" s="26">
        <f t="shared" si="1"/>
        <v>88.427256296243243</v>
      </c>
      <c r="K5" s="26">
        <f t="shared" si="1"/>
        <v>99.038527051792443</v>
      </c>
      <c r="L5" s="26">
        <f t="shared" si="1"/>
        <v>110.92315029800756</v>
      </c>
      <c r="M5" s="27">
        <f t="shared" si="1"/>
        <v>124.23392833376847</v>
      </c>
      <c r="AJ5" s="18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"/>
    </row>
    <row r="6" spans="1:48" x14ac:dyDescent="0.2">
      <c r="A6" s="82">
        <v>0.15</v>
      </c>
      <c r="B6" s="3" t="s">
        <v>8</v>
      </c>
      <c r="C6" s="26">
        <f>C$3*$A6</f>
        <v>15</v>
      </c>
      <c r="D6" s="26">
        <f t="shared" si="1"/>
        <v>16.8</v>
      </c>
      <c r="E6" s="26">
        <f t="shared" si="1"/>
        <v>18.816000000000003</v>
      </c>
      <c r="F6" s="26">
        <f t="shared" si="1"/>
        <v>21.073920000000005</v>
      </c>
      <c r="G6" s="26">
        <f t="shared" si="1"/>
        <v>23.602790400000007</v>
      </c>
      <c r="H6" s="26">
        <f t="shared" si="1"/>
        <v>26.435125248000009</v>
      </c>
      <c r="I6" s="26">
        <f t="shared" si="1"/>
        <v>29.607340277760009</v>
      </c>
      <c r="J6" s="26">
        <f t="shared" si="1"/>
        <v>33.160221111091211</v>
      </c>
      <c r="K6" s="26">
        <f t="shared" si="1"/>
        <v>37.139447644422162</v>
      </c>
      <c r="L6" s="26">
        <f t="shared" si="1"/>
        <v>41.596181361752826</v>
      </c>
      <c r="M6" s="27">
        <f t="shared" si="1"/>
        <v>46.587723125163173</v>
      </c>
      <c r="AJ6" s="18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"/>
    </row>
    <row r="7" spans="1:48" x14ac:dyDescent="0.2">
      <c r="A7" s="82"/>
      <c r="B7" s="52" t="s">
        <v>3</v>
      </c>
      <c r="C7" s="43">
        <f>C3-SUM(C4:C6)</f>
        <v>25</v>
      </c>
      <c r="D7" s="43">
        <f t="shared" ref="D7:K7" si="2">D3-SUM(D4:D6)</f>
        <v>28</v>
      </c>
      <c r="E7" s="43">
        <f t="shared" si="2"/>
        <v>31.36</v>
      </c>
      <c r="F7" s="43">
        <f t="shared" si="2"/>
        <v>35.123200000000011</v>
      </c>
      <c r="G7" s="43">
        <f t="shared" si="2"/>
        <v>39.337984000000006</v>
      </c>
      <c r="H7" s="43">
        <f t="shared" si="2"/>
        <v>44.058542079999995</v>
      </c>
      <c r="I7" s="43">
        <f t="shared" si="2"/>
        <v>49.345567129599999</v>
      </c>
      <c r="J7" s="43">
        <f t="shared" si="2"/>
        <v>55.267035185152025</v>
      </c>
      <c r="K7" s="43">
        <f t="shared" si="2"/>
        <v>61.899079407370294</v>
      </c>
      <c r="L7" s="43">
        <f t="shared" ref="L7:M7" si="3">L3-SUM(L4:L6)</f>
        <v>69.326968936254701</v>
      </c>
      <c r="M7" s="44">
        <f t="shared" si="3"/>
        <v>77.646205208605295</v>
      </c>
      <c r="AJ7" s="18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"/>
    </row>
    <row r="8" spans="1:48" x14ac:dyDescent="0.2">
      <c r="A8" s="82">
        <v>0.3</v>
      </c>
      <c r="B8" s="3" t="s">
        <v>4</v>
      </c>
      <c r="C8" s="26">
        <f>C$7*$A8</f>
        <v>7.5</v>
      </c>
      <c r="D8" s="26">
        <f t="shared" ref="D8:M8" si="4">D$7*$A8</f>
        <v>8.4</v>
      </c>
      <c r="E8" s="26">
        <f t="shared" si="4"/>
        <v>9.4079999999999995</v>
      </c>
      <c r="F8" s="26">
        <f t="shared" si="4"/>
        <v>10.536960000000002</v>
      </c>
      <c r="G8" s="26">
        <f t="shared" si="4"/>
        <v>11.801395200000002</v>
      </c>
      <c r="H8" s="26">
        <f t="shared" si="4"/>
        <v>13.217562623999997</v>
      </c>
      <c r="I8" s="26">
        <f t="shared" si="4"/>
        <v>14.803670138879999</v>
      </c>
      <c r="J8" s="26">
        <f t="shared" si="4"/>
        <v>16.580110555545605</v>
      </c>
      <c r="K8" s="26">
        <f t="shared" si="4"/>
        <v>18.569723822211088</v>
      </c>
      <c r="L8" s="26">
        <f t="shared" si="4"/>
        <v>20.79809068087641</v>
      </c>
      <c r="M8" s="27">
        <f t="shared" si="4"/>
        <v>23.293861562581586</v>
      </c>
      <c r="AJ8" s="19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"/>
    </row>
    <row r="9" spans="1:48" x14ac:dyDescent="0.2">
      <c r="A9" s="82"/>
      <c r="B9" s="3" t="s">
        <v>5</v>
      </c>
      <c r="C9" s="26">
        <f>C7-C8</f>
        <v>17.5</v>
      </c>
      <c r="D9" s="26">
        <f t="shared" ref="D9:M9" si="5">D7-D8</f>
        <v>19.600000000000001</v>
      </c>
      <c r="E9" s="26">
        <f t="shared" si="5"/>
        <v>21.951999999999998</v>
      </c>
      <c r="F9" s="26">
        <f t="shared" si="5"/>
        <v>24.586240000000011</v>
      </c>
      <c r="G9" s="26">
        <f t="shared" si="5"/>
        <v>27.536588800000004</v>
      </c>
      <c r="H9" s="26">
        <f t="shared" si="5"/>
        <v>30.840979455999999</v>
      </c>
      <c r="I9" s="26">
        <f t="shared" si="5"/>
        <v>34.541896990719998</v>
      </c>
      <c r="J9" s="26">
        <f t="shared" si="5"/>
        <v>38.686924629606423</v>
      </c>
      <c r="K9" s="26">
        <f t="shared" si="5"/>
        <v>43.329355585159206</v>
      </c>
      <c r="L9" s="26">
        <f t="shared" si="5"/>
        <v>48.528878255378288</v>
      </c>
      <c r="M9" s="27">
        <f t="shared" si="5"/>
        <v>54.352343646023712</v>
      </c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1"/>
    </row>
    <row r="10" spans="1:48" x14ac:dyDescent="0.2">
      <c r="A10" s="82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AJ10" s="20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"/>
    </row>
    <row r="11" spans="1:48" x14ac:dyDescent="0.2">
      <c r="A11" s="82"/>
      <c r="B11" s="52" t="s">
        <v>3</v>
      </c>
      <c r="C11" s="43">
        <f>C7</f>
        <v>25</v>
      </c>
      <c r="D11" s="43">
        <f t="shared" ref="D11:M11" si="6">D7</f>
        <v>28</v>
      </c>
      <c r="E11" s="43">
        <f t="shared" si="6"/>
        <v>31.36</v>
      </c>
      <c r="F11" s="43">
        <f t="shared" si="6"/>
        <v>35.123200000000011</v>
      </c>
      <c r="G11" s="43">
        <f t="shared" si="6"/>
        <v>39.337984000000006</v>
      </c>
      <c r="H11" s="43">
        <f t="shared" si="6"/>
        <v>44.058542079999995</v>
      </c>
      <c r="I11" s="43">
        <f t="shared" si="6"/>
        <v>49.345567129599999</v>
      </c>
      <c r="J11" s="43">
        <f t="shared" si="6"/>
        <v>55.267035185152025</v>
      </c>
      <c r="K11" s="43">
        <f t="shared" si="6"/>
        <v>61.899079407370294</v>
      </c>
      <c r="L11" s="43">
        <f t="shared" si="6"/>
        <v>69.326968936254701</v>
      </c>
      <c r="M11" s="44">
        <f t="shared" si="6"/>
        <v>77.646205208605295</v>
      </c>
      <c r="AJ11" s="19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"/>
    </row>
    <row r="12" spans="1:48" x14ac:dyDescent="0.2">
      <c r="A12" s="82">
        <v>0.33</v>
      </c>
      <c r="B12" s="3" t="s">
        <v>6</v>
      </c>
      <c r="C12" s="26">
        <f>C$7*$A12</f>
        <v>8.25</v>
      </c>
      <c r="D12" s="26">
        <f t="shared" ref="D12:M12" si="7">D$7*$A12</f>
        <v>9.24</v>
      </c>
      <c r="E12" s="26">
        <f t="shared" si="7"/>
        <v>10.348800000000001</v>
      </c>
      <c r="F12" s="26">
        <f t="shared" si="7"/>
        <v>11.590656000000005</v>
      </c>
      <c r="G12" s="26">
        <f t="shared" si="7"/>
        <v>12.981534720000003</v>
      </c>
      <c r="H12" s="26">
        <f t="shared" si="7"/>
        <v>14.539318886399998</v>
      </c>
      <c r="I12" s="26">
        <f t="shared" si="7"/>
        <v>16.284037152768001</v>
      </c>
      <c r="J12" s="26">
        <f t="shared" si="7"/>
        <v>18.238121611100169</v>
      </c>
      <c r="K12" s="26">
        <f t="shared" si="7"/>
        <v>20.426696204432197</v>
      </c>
      <c r="L12" s="26">
        <f t="shared" si="7"/>
        <v>22.877899748964051</v>
      </c>
      <c r="M12" s="27">
        <f t="shared" si="7"/>
        <v>25.62324771883975</v>
      </c>
      <c r="AJ12" s="18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"/>
    </row>
    <row r="13" spans="1:48" x14ac:dyDescent="0.2">
      <c r="A13" s="82"/>
      <c r="B13" s="52" t="s">
        <v>7</v>
      </c>
      <c r="C13" s="43">
        <f>C11-C12</f>
        <v>16.75</v>
      </c>
      <c r="D13" s="43">
        <f t="shared" ref="D13:M13" si="8">D11-D12</f>
        <v>18.759999999999998</v>
      </c>
      <c r="E13" s="43">
        <f t="shared" si="8"/>
        <v>21.011199999999999</v>
      </c>
      <c r="F13" s="43">
        <f t="shared" si="8"/>
        <v>23.532544000000009</v>
      </c>
      <c r="G13" s="43">
        <f t="shared" si="8"/>
        <v>26.356449280000003</v>
      </c>
      <c r="H13" s="43">
        <f t="shared" si="8"/>
        <v>29.519223193599998</v>
      </c>
      <c r="I13" s="43">
        <f t="shared" si="8"/>
        <v>33.061529976831999</v>
      </c>
      <c r="J13" s="43">
        <f t="shared" si="8"/>
        <v>37.028913574051856</v>
      </c>
      <c r="K13" s="43">
        <f t="shared" si="8"/>
        <v>41.472383202938097</v>
      </c>
      <c r="L13" s="43">
        <f t="shared" si="8"/>
        <v>46.449069187290647</v>
      </c>
      <c r="M13" s="44">
        <f t="shared" si="8"/>
        <v>52.022957489765545</v>
      </c>
      <c r="AJ13" s="19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1"/>
    </row>
    <row r="14" spans="1:48" x14ac:dyDescent="0.2">
      <c r="A14" s="82"/>
      <c r="B14" s="3"/>
      <c r="C14" s="26"/>
      <c r="D14" s="32"/>
      <c r="E14" s="26"/>
      <c r="F14" s="26"/>
      <c r="G14" s="26"/>
      <c r="H14" s="26"/>
      <c r="I14" s="26"/>
      <c r="J14" s="26"/>
      <c r="K14" s="26"/>
      <c r="L14" s="26"/>
      <c r="M14" s="27"/>
      <c r="AJ14" s="18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1"/>
    </row>
    <row r="15" spans="1:48" x14ac:dyDescent="0.2">
      <c r="A15" s="82">
        <v>0.09</v>
      </c>
      <c r="B15" s="3" t="s">
        <v>12</v>
      </c>
      <c r="C15" s="26">
        <v>237</v>
      </c>
      <c r="D15" s="26">
        <f>C15*(1+$A$15)</f>
        <v>258.33000000000004</v>
      </c>
      <c r="E15" s="26">
        <f t="shared" ref="E15:M15" si="9">D15*(1+$A$15)</f>
        <v>281.57970000000006</v>
      </c>
      <c r="F15" s="26">
        <f t="shared" si="9"/>
        <v>306.92187300000006</v>
      </c>
      <c r="G15" s="26">
        <f t="shared" si="9"/>
        <v>334.54484157000007</v>
      </c>
      <c r="H15" s="26">
        <f t="shared" si="9"/>
        <v>364.65387731130011</v>
      </c>
      <c r="I15" s="26">
        <f t="shared" si="9"/>
        <v>397.47272626931715</v>
      </c>
      <c r="J15" s="26">
        <f t="shared" si="9"/>
        <v>433.24527163355572</v>
      </c>
      <c r="K15" s="26">
        <f t="shared" si="9"/>
        <v>472.23734608057578</v>
      </c>
      <c r="L15" s="26">
        <f t="shared" si="9"/>
        <v>514.7387072278276</v>
      </c>
      <c r="M15" s="27">
        <f t="shared" si="9"/>
        <v>561.06519087833215</v>
      </c>
      <c r="AJ15" s="18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"/>
    </row>
    <row r="16" spans="1:48" x14ac:dyDescent="0.2">
      <c r="A16" s="66"/>
      <c r="B16" s="52" t="s">
        <v>32</v>
      </c>
      <c r="C16" s="45">
        <f>C13/C15</f>
        <v>7.0675105485232065E-2</v>
      </c>
      <c r="D16" s="45">
        <f t="shared" ref="D16:M16" si="10">D13/D15</f>
        <v>7.2620291874733844E-2</v>
      </c>
      <c r="E16" s="45">
        <f t="shared" si="10"/>
        <v>7.4619015504313685E-2</v>
      </c>
      <c r="F16" s="45">
        <f t="shared" si="10"/>
        <v>7.6672749875992069E-2</v>
      </c>
      <c r="G16" s="45">
        <f t="shared" si="10"/>
        <v>7.8783009046890909E-2</v>
      </c>
      <c r="H16" s="45">
        <f t="shared" si="10"/>
        <v>8.0951348745429169E-2</v>
      </c>
      <c r="I16" s="45">
        <f t="shared" si="10"/>
        <v>8.317936751823915E-2</v>
      </c>
      <c r="J16" s="45">
        <f t="shared" si="10"/>
        <v>8.5468707908649438E-2</v>
      </c>
      <c r="K16" s="45">
        <f t="shared" si="10"/>
        <v>8.782105766760312E-2</v>
      </c>
      <c r="L16" s="45">
        <f t="shared" si="10"/>
        <v>9.0238150997904082E-2</v>
      </c>
      <c r="M16" s="46">
        <f t="shared" si="10"/>
        <v>9.27217698327088E-2</v>
      </c>
      <c r="AJ16" s="12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"/>
    </row>
    <row r="17" spans="1:55" x14ac:dyDescent="0.2">
      <c r="A17" s="66"/>
      <c r="B17" s="3" t="s">
        <v>14</v>
      </c>
      <c r="C17" s="28">
        <f t="shared" ref="C17:M17" si="11">(C16-$A$32)*C15</f>
        <v>16.75</v>
      </c>
      <c r="D17" s="28">
        <f t="shared" si="11"/>
        <v>18.759999999999998</v>
      </c>
      <c r="E17" s="28">
        <f t="shared" si="11"/>
        <v>21.011199999999999</v>
      </c>
      <c r="F17" s="28">
        <f t="shared" si="11"/>
        <v>23.532544000000009</v>
      </c>
      <c r="G17" s="28">
        <f t="shared" si="11"/>
        <v>26.356449280000003</v>
      </c>
      <c r="H17" s="28">
        <f t="shared" si="11"/>
        <v>29.519223193599995</v>
      </c>
      <c r="I17" s="28">
        <f t="shared" si="11"/>
        <v>33.061529976831999</v>
      </c>
      <c r="J17" s="28">
        <f t="shared" si="11"/>
        <v>37.028913574051856</v>
      </c>
      <c r="K17" s="28">
        <f t="shared" si="11"/>
        <v>41.472383202938097</v>
      </c>
      <c r="L17" s="28">
        <f t="shared" si="11"/>
        <v>46.449069187290647</v>
      </c>
      <c r="M17" s="33">
        <f t="shared" si="11"/>
        <v>52.022957489765545</v>
      </c>
      <c r="AV17" s="1"/>
    </row>
    <row r="18" spans="1:55" x14ac:dyDescent="0.2">
      <c r="A18" s="66"/>
      <c r="B18" s="3" t="s">
        <v>15</v>
      </c>
      <c r="C18" s="29">
        <f>C13/C3</f>
        <v>0.16750000000000001</v>
      </c>
      <c r="D18" s="29">
        <f t="shared" ref="D18:M18" si="12">D13/D3</f>
        <v>0.16749999999999995</v>
      </c>
      <c r="E18" s="29">
        <f t="shared" si="12"/>
        <v>0.16749999999999995</v>
      </c>
      <c r="F18" s="29">
        <f t="shared" si="12"/>
        <v>0.16750000000000001</v>
      </c>
      <c r="G18" s="29">
        <f t="shared" si="12"/>
        <v>0.16749999999999995</v>
      </c>
      <c r="H18" s="29">
        <f t="shared" si="12"/>
        <v>0.16749999999999993</v>
      </c>
      <c r="I18" s="29">
        <f t="shared" si="12"/>
        <v>0.16749999999999993</v>
      </c>
      <c r="J18" s="29">
        <f t="shared" si="12"/>
        <v>0.16750000000000001</v>
      </c>
      <c r="K18" s="29">
        <f t="shared" si="12"/>
        <v>0.16750000000000007</v>
      </c>
      <c r="L18" s="29">
        <f t="shared" si="12"/>
        <v>0.16749999999999995</v>
      </c>
      <c r="M18" s="34">
        <f t="shared" si="12"/>
        <v>0.16749999999999998</v>
      </c>
      <c r="AV18" s="1"/>
    </row>
    <row r="19" spans="1:55" x14ac:dyDescent="0.2">
      <c r="A19" s="66"/>
      <c r="B19" s="3" t="s">
        <v>16</v>
      </c>
      <c r="C19" s="31">
        <f>C3/C15</f>
        <v>0.4219409282700422</v>
      </c>
      <c r="D19" s="31">
        <f t="shared" ref="D19:M19" si="13">D3/D15</f>
        <v>0.43355398134169471</v>
      </c>
      <c r="E19" s="31">
        <f t="shared" si="13"/>
        <v>0.44548665972724594</v>
      </c>
      <c r="F19" s="31">
        <f t="shared" si="13"/>
        <v>0.45774776045368398</v>
      </c>
      <c r="G19" s="31">
        <f t="shared" si="13"/>
        <v>0.47034632266800558</v>
      </c>
      <c r="H19" s="31">
        <f t="shared" si="13"/>
        <v>0.48329163430106992</v>
      </c>
      <c r="I19" s="31">
        <f t="shared" si="13"/>
        <v>0.49659323891486079</v>
      </c>
      <c r="J19" s="31">
        <f t="shared" si="13"/>
        <v>0.51026094273820555</v>
      </c>
      <c r="K19" s="31">
        <f t="shared" si="13"/>
        <v>0.52430482189613781</v>
      </c>
      <c r="L19" s="31">
        <f t="shared" si="13"/>
        <v>0.53873522983823341</v>
      </c>
      <c r="M19" s="35">
        <f t="shared" si="13"/>
        <v>0.55356280497139587</v>
      </c>
      <c r="AV19" s="1"/>
    </row>
    <row r="20" spans="1:55" x14ac:dyDescent="0.2">
      <c r="A20" s="66"/>
      <c r="B20" s="55" t="s">
        <v>29</v>
      </c>
      <c r="C20" s="56"/>
      <c r="D20" s="47">
        <f>D13-(D15-C15)</f>
        <v>-2.5700000000000429</v>
      </c>
      <c r="E20" s="47">
        <f t="shared" ref="E20:AH20" si="14">E13-(E15-D15)</f>
        <v>-2.2385000000000197</v>
      </c>
      <c r="F20" s="47">
        <f t="shared" si="14"/>
        <v>-1.8096289999999939</v>
      </c>
      <c r="G20" s="47">
        <f t="shared" si="14"/>
        <v>-1.2665192900000086</v>
      </c>
      <c r="H20" s="47">
        <f t="shared" si="14"/>
        <v>-0.58981254770003488</v>
      </c>
      <c r="I20" s="47">
        <f t="shared" si="14"/>
        <v>0.24268101881495596</v>
      </c>
      <c r="J20" s="47">
        <f t="shared" si="14"/>
        <v>1.2563682098132887</v>
      </c>
      <c r="K20" s="47">
        <f t="shared" si="14"/>
        <v>2.4803087559180383</v>
      </c>
      <c r="L20" s="47">
        <f t="shared" si="14"/>
        <v>3.9477080400388189</v>
      </c>
      <c r="M20" s="48">
        <f t="shared" si="14"/>
        <v>5.696473839261003</v>
      </c>
      <c r="N20" s="67">
        <f t="shared" si="14"/>
        <v>561.06519087833215</v>
      </c>
      <c r="O20" s="67">
        <f t="shared" si="14"/>
        <v>0</v>
      </c>
      <c r="P20" s="67">
        <f t="shared" si="14"/>
        <v>0</v>
      </c>
      <c r="Q20" s="67">
        <f t="shared" si="14"/>
        <v>0</v>
      </c>
      <c r="R20" s="67">
        <f t="shared" si="14"/>
        <v>0</v>
      </c>
      <c r="S20" s="67">
        <f t="shared" si="14"/>
        <v>0</v>
      </c>
      <c r="T20" s="67">
        <f t="shared" si="14"/>
        <v>0</v>
      </c>
      <c r="U20" s="67">
        <f t="shared" si="14"/>
        <v>0</v>
      </c>
      <c r="V20" s="67">
        <f t="shared" si="14"/>
        <v>0</v>
      </c>
      <c r="W20" s="67">
        <f t="shared" si="14"/>
        <v>0</v>
      </c>
      <c r="X20" s="67">
        <f t="shared" si="14"/>
        <v>0</v>
      </c>
      <c r="Y20" s="67">
        <f t="shared" si="14"/>
        <v>0</v>
      </c>
      <c r="Z20" s="67">
        <f t="shared" si="14"/>
        <v>0</v>
      </c>
      <c r="AA20" s="67">
        <f t="shared" si="14"/>
        <v>0</v>
      </c>
      <c r="AB20" s="67">
        <f t="shared" si="14"/>
        <v>0</v>
      </c>
      <c r="AC20" s="67">
        <f t="shared" si="14"/>
        <v>0</v>
      </c>
      <c r="AD20" s="67">
        <f t="shared" si="14"/>
        <v>0</v>
      </c>
      <c r="AE20" s="67">
        <f t="shared" si="14"/>
        <v>0</v>
      </c>
      <c r="AF20" s="67">
        <f t="shared" si="14"/>
        <v>0</v>
      </c>
      <c r="AG20" s="67">
        <f t="shared" si="14"/>
        <v>0</v>
      </c>
      <c r="AH20" s="67">
        <f t="shared" si="14"/>
        <v>0</v>
      </c>
      <c r="AV20" s="1"/>
    </row>
    <row r="21" spans="1:55" x14ac:dyDescent="0.2">
      <c r="A21" s="66"/>
      <c r="B21" s="2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AV21" s="1"/>
    </row>
    <row r="22" spans="1:55" s="75" customFormat="1" x14ac:dyDescent="0.2">
      <c r="A22" s="85" t="s">
        <v>38</v>
      </c>
      <c r="B22" s="24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</row>
    <row r="23" spans="1:55" s="75" customFormat="1" x14ac:dyDescent="0.2">
      <c r="A23" s="66"/>
      <c r="B23" s="2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</row>
    <row r="24" spans="1:55" s="75" customFormat="1" x14ac:dyDescent="0.2">
      <c r="B24" s="2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</row>
    <row r="25" spans="1:55" s="75" customFormat="1" x14ac:dyDescent="0.2">
      <c r="A25" s="77"/>
      <c r="B25" s="24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O25" s="78"/>
      <c r="P25" s="78"/>
      <c r="Q25" s="78"/>
      <c r="R25" s="78"/>
      <c r="S25" s="78"/>
      <c r="T25" s="78"/>
      <c r="U25" s="78"/>
      <c r="V25" s="78"/>
      <c r="W25" s="78"/>
      <c r="X25" s="7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</row>
    <row r="26" spans="1:55" s="75" customFormat="1" x14ac:dyDescent="0.2">
      <c r="A26" s="77"/>
      <c r="B26" s="2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</row>
    <row r="27" spans="1:55" s="75" customFormat="1" x14ac:dyDescent="0.2">
      <c r="B27" s="2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</row>
    <row r="28" spans="1:55" s="75" customFormat="1" hidden="1" x14ac:dyDescent="0.2">
      <c r="B28" s="2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R28" s="78"/>
      <c r="S28" s="78"/>
      <c r="T28" s="78"/>
      <c r="U28" s="78"/>
      <c r="V28" s="78"/>
      <c r="W28" s="78"/>
      <c r="X28" s="78"/>
      <c r="Y28" s="78"/>
      <c r="Z28" s="78"/>
      <c r="AA28" s="7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</row>
    <row r="29" spans="1:55" s="75" customFormat="1" x14ac:dyDescent="0.2">
      <c r="A29" s="77"/>
      <c r="B29" s="2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S29" s="78"/>
      <c r="T29" s="78"/>
      <c r="U29" s="78"/>
      <c r="V29" s="78"/>
      <c r="W29" s="78"/>
      <c r="X29" s="78"/>
      <c r="Y29" s="78"/>
      <c r="Z29" s="78"/>
      <c r="AA29" s="78"/>
      <c r="AB29" s="7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</row>
    <row r="30" spans="1:55" s="75" customForma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</row>
    <row r="31" spans="1:55" s="75" customFormat="1" x14ac:dyDescent="0.2">
      <c r="B31" s="2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J31" s="13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58"/>
      <c r="AW31" s="58"/>
      <c r="AX31" s="58"/>
      <c r="AY31" s="58"/>
      <c r="AZ31" s="58"/>
      <c r="BA31" s="58"/>
      <c r="BB31" s="58"/>
      <c r="BC31" s="58"/>
    </row>
    <row r="32" spans="1:55" s="75" customFormat="1" x14ac:dyDescent="0.2">
      <c r="A32" s="79"/>
      <c r="B32" s="2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J32" s="16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58"/>
      <c r="AW32" s="58"/>
      <c r="AX32" s="58"/>
      <c r="AY32" s="58"/>
      <c r="AZ32" s="58"/>
      <c r="BA32" s="58"/>
      <c r="BB32" s="58"/>
      <c r="BC32" s="58"/>
    </row>
    <row r="33" spans="1:55" s="75" customFormat="1" x14ac:dyDescent="0.2">
      <c r="B33" s="2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J33" s="18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58"/>
      <c r="AW33" s="58"/>
      <c r="AX33" s="58"/>
      <c r="AY33" s="58"/>
      <c r="AZ33" s="58"/>
      <c r="BA33" s="58"/>
      <c r="BB33" s="58"/>
      <c r="BC33" s="58"/>
    </row>
    <row r="34" spans="1:55" s="75" customFormat="1" x14ac:dyDescent="0.2">
      <c r="B34" s="24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J34" s="18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58"/>
      <c r="AW34" s="58"/>
      <c r="AX34" s="58"/>
      <c r="AY34" s="58"/>
      <c r="AZ34" s="58"/>
      <c r="BA34" s="58"/>
      <c r="BB34" s="58"/>
      <c r="BC34" s="58"/>
    </row>
    <row r="35" spans="1:55" s="75" customFormat="1" x14ac:dyDescent="0.2">
      <c r="B35" s="24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Y35" s="78"/>
      <c r="Z35" s="78"/>
      <c r="AA35" s="78"/>
      <c r="AB35" s="78"/>
      <c r="AC35" s="78"/>
      <c r="AD35" s="78"/>
      <c r="AJ35" s="18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58"/>
      <c r="AW35" s="58"/>
      <c r="AX35" s="58"/>
      <c r="AY35" s="58"/>
      <c r="AZ35" s="58"/>
      <c r="BA35" s="58"/>
      <c r="BB35" s="58"/>
      <c r="BC35" s="58"/>
    </row>
    <row r="36" spans="1:55" s="75" customFormat="1" x14ac:dyDescent="0.2">
      <c r="B36" s="24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AJ36" s="18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58"/>
      <c r="AW36" s="58"/>
      <c r="AX36" s="58"/>
      <c r="AY36" s="58"/>
      <c r="AZ36" s="58"/>
      <c r="BA36" s="58"/>
      <c r="BB36" s="58"/>
      <c r="BC36" s="58"/>
    </row>
    <row r="37" spans="1:55" s="75" customFormat="1" x14ac:dyDescent="0.2">
      <c r="A37" s="66"/>
      <c r="B37" s="2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AJ37" s="19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58"/>
      <c r="AW37" s="58"/>
      <c r="AX37" s="58"/>
      <c r="AY37" s="58"/>
      <c r="AZ37" s="58"/>
      <c r="BA37" s="58"/>
      <c r="BB37" s="58"/>
      <c r="BC37" s="58"/>
    </row>
    <row r="38" spans="1:55" s="75" customFormat="1" x14ac:dyDescent="0.2">
      <c r="A38" s="66"/>
      <c r="B38" s="24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AJ38" s="62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58"/>
      <c r="AW38" s="58"/>
      <c r="AX38" s="58"/>
      <c r="AY38" s="58"/>
      <c r="AZ38" s="58"/>
      <c r="BA38" s="58"/>
      <c r="BB38" s="58"/>
      <c r="BC38" s="58"/>
    </row>
    <row r="39" spans="1:55" s="75" customFormat="1" x14ac:dyDescent="0.2">
      <c r="B39" s="2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AJ39" s="18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58"/>
      <c r="AW39" s="58"/>
      <c r="AX39" s="58"/>
      <c r="AY39" s="58"/>
      <c r="AZ39" s="58"/>
      <c r="BA39" s="58"/>
      <c r="BB39" s="58"/>
      <c r="BC39" s="58"/>
    </row>
    <row r="40" spans="1:55" s="75" customFormat="1" x14ac:dyDescent="0.2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AJ40" s="18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58"/>
      <c r="AW40" s="58"/>
      <c r="AX40" s="58"/>
      <c r="AY40" s="58"/>
      <c r="AZ40" s="58"/>
      <c r="BA40" s="58"/>
      <c r="BB40" s="58"/>
      <c r="BC40" s="58"/>
    </row>
    <row r="41" spans="1:55" s="75" customFormat="1" x14ac:dyDescent="0.2">
      <c r="B41" s="24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AJ41" s="18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58"/>
      <c r="AW41" s="58"/>
      <c r="AX41" s="58"/>
      <c r="AY41" s="58"/>
      <c r="AZ41" s="58"/>
      <c r="BA41" s="58"/>
      <c r="BB41" s="58"/>
      <c r="BC41" s="58"/>
    </row>
    <row r="42" spans="1:55" s="75" customFormat="1" x14ac:dyDescent="0.2">
      <c r="B42" s="24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AJ42" s="19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58"/>
      <c r="AW42" s="58"/>
      <c r="AX42" s="58"/>
      <c r="AY42" s="58"/>
      <c r="AZ42" s="58"/>
      <c r="BA42" s="58"/>
      <c r="BB42" s="58"/>
      <c r="BC42" s="58"/>
    </row>
    <row r="43" spans="1:55" s="75" customFormat="1" x14ac:dyDescent="0.2">
      <c r="B43" s="24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AJ43" s="18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58"/>
      <c r="AW43" s="58"/>
      <c r="AX43" s="58"/>
      <c r="AY43" s="58"/>
      <c r="AZ43" s="58"/>
      <c r="BA43" s="58"/>
      <c r="BB43" s="58"/>
      <c r="BC43" s="58"/>
    </row>
    <row r="44" spans="1:55" s="75" customFormat="1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AJ44" s="18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58"/>
      <c r="AW44" s="58"/>
      <c r="AX44" s="58"/>
      <c r="AY44" s="58"/>
      <c r="AZ44" s="58"/>
      <c r="BA44" s="58"/>
      <c r="BB44" s="58"/>
      <c r="BC44" s="58"/>
    </row>
    <row r="45" spans="1:55" s="75" customFormat="1" x14ac:dyDescent="0.2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AJ45" s="19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58"/>
      <c r="AW45" s="58"/>
      <c r="AX45" s="58"/>
      <c r="AY45" s="58"/>
      <c r="AZ45" s="58"/>
      <c r="BA45" s="58"/>
      <c r="BB45" s="58"/>
      <c r="BC45" s="58"/>
    </row>
    <row r="46" spans="1:55" s="75" customFormat="1" x14ac:dyDescent="0.2">
      <c r="B46" s="2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AJ46" s="19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58"/>
      <c r="AW46" s="58"/>
      <c r="AX46" s="58"/>
      <c r="AY46" s="58"/>
      <c r="AZ46" s="58"/>
      <c r="BA46" s="58"/>
      <c r="BB46" s="58"/>
      <c r="BC46" s="58"/>
    </row>
    <row r="47" spans="1:55" s="75" customFormat="1" x14ac:dyDescent="0.2">
      <c r="B47" s="24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AJ47" s="18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58"/>
      <c r="AW47" s="58"/>
      <c r="AX47" s="58"/>
      <c r="AY47" s="58"/>
      <c r="AZ47" s="58"/>
      <c r="BA47" s="58"/>
      <c r="BB47" s="58"/>
      <c r="BC47" s="58"/>
    </row>
    <row r="48" spans="1:55" s="75" customFormat="1" x14ac:dyDescent="0.2">
      <c r="B48" s="24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AJ48" s="18"/>
      <c r="AK48" s="61"/>
      <c r="AL48" s="22"/>
      <c r="AM48" s="22"/>
      <c r="AN48" s="22"/>
      <c r="AO48" s="22"/>
      <c r="AP48" s="22"/>
      <c r="AQ48" s="15"/>
      <c r="AR48" s="15"/>
      <c r="AS48" s="15"/>
      <c r="AT48" s="15"/>
      <c r="AU48" s="15"/>
      <c r="AV48" s="58"/>
      <c r="AW48" s="58"/>
      <c r="AX48" s="58"/>
      <c r="AY48" s="58"/>
      <c r="AZ48" s="58"/>
      <c r="BA48" s="58"/>
      <c r="BB48" s="58"/>
      <c r="BC48" s="58"/>
    </row>
    <row r="49" spans="1:55" s="75" customFormat="1" x14ac:dyDescent="0.2">
      <c r="A49" s="66"/>
      <c r="B49" s="2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</row>
    <row r="50" spans="1:55" s="75" customFormat="1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</row>
    <row r="51" spans="1:55" s="75" customFormat="1" x14ac:dyDescent="0.2">
      <c r="B51" s="24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AJ51" s="16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58"/>
      <c r="AW51" s="58"/>
      <c r="AX51" s="58"/>
      <c r="AY51" s="58"/>
      <c r="AZ51" s="58"/>
      <c r="BA51" s="58"/>
      <c r="BB51" s="58"/>
      <c r="BC51" s="58"/>
    </row>
    <row r="52" spans="1:55" s="75" customFormat="1" x14ac:dyDescent="0.2">
      <c r="B52" s="24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AJ52" s="18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58"/>
      <c r="AW52" s="58"/>
      <c r="AX52" s="58"/>
      <c r="AY52" s="58"/>
      <c r="AZ52" s="58"/>
      <c r="BA52" s="58"/>
      <c r="BB52" s="58"/>
      <c r="BC52" s="58"/>
    </row>
    <row r="53" spans="1:55" s="75" customFormat="1" x14ac:dyDescent="0.2">
      <c r="A53" s="66"/>
      <c r="B53" s="2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AJ53" s="18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58"/>
      <c r="AW53" s="58"/>
      <c r="AX53" s="58"/>
      <c r="AY53" s="58"/>
      <c r="AZ53" s="58"/>
      <c r="BA53" s="58"/>
      <c r="BB53" s="58"/>
      <c r="BC53" s="58"/>
    </row>
    <row r="54" spans="1:55" s="75" customFormat="1" x14ac:dyDescent="0.2">
      <c r="A54" s="66"/>
      <c r="B54" s="2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AJ54" s="18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58"/>
      <c r="AW54" s="58"/>
      <c r="AX54" s="58"/>
      <c r="AY54" s="58"/>
      <c r="AZ54" s="58"/>
      <c r="BA54" s="58"/>
      <c r="BB54" s="58"/>
      <c r="BC54" s="58"/>
    </row>
    <row r="55" spans="1:55" s="75" customFormat="1" x14ac:dyDescent="0.2">
      <c r="B55" s="2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AJ55" s="18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58"/>
      <c r="AW55" s="58"/>
      <c r="AX55" s="58"/>
      <c r="AY55" s="58"/>
      <c r="AZ55" s="58"/>
      <c r="BA55" s="58"/>
      <c r="BB55" s="58"/>
      <c r="BC55" s="58"/>
    </row>
    <row r="56" spans="1:55" s="75" customFormat="1" x14ac:dyDescent="0.2">
      <c r="B56" s="2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AJ56" s="19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58"/>
      <c r="AW56" s="58"/>
      <c r="AX56" s="58"/>
      <c r="AY56" s="58"/>
      <c r="AZ56" s="58"/>
      <c r="BA56" s="58"/>
      <c r="BB56" s="58"/>
      <c r="BC56" s="58"/>
    </row>
    <row r="57" spans="1:55" s="75" customFormat="1" x14ac:dyDescent="0.2">
      <c r="B57" s="24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AJ57" s="62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58"/>
      <c r="AW57" s="58"/>
      <c r="AX57" s="58"/>
      <c r="AY57" s="58"/>
      <c r="AZ57" s="58"/>
      <c r="BA57" s="58"/>
      <c r="BB57" s="58"/>
      <c r="BC57" s="58"/>
    </row>
    <row r="58" spans="1:55" s="75" customFormat="1" x14ac:dyDescent="0.2">
      <c r="B58" s="24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AJ58" s="18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58"/>
      <c r="AW58" s="58"/>
      <c r="AX58" s="58"/>
      <c r="AY58" s="58"/>
      <c r="AZ58" s="58"/>
      <c r="BA58" s="58"/>
      <c r="BB58" s="58"/>
      <c r="BC58" s="58"/>
    </row>
    <row r="59" spans="1:55" s="75" customFormat="1" x14ac:dyDescent="0.2">
      <c r="B59" s="24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AJ59" s="18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58"/>
      <c r="AW59" s="58"/>
      <c r="AX59" s="58"/>
      <c r="AY59" s="58"/>
      <c r="AZ59" s="58"/>
      <c r="BA59" s="58"/>
      <c r="BB59" s="58"/>
      <c r="BC59" s="58"/>
    </row>
    <row r="60" spans="1:55" s="75" customForma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AJ60" s="19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58"/>
      <c r="AW60" s="58"/>
      <c r="AX60" s="58"/>
      <c r="AY60" s="58"/>
      <c r="AZ60" s="58"/>
      <c r="BA60" s="58"/>
      <c r="BB60" s="58"/>
      <c r="BC60" s="58"/>
    </row>
    <row r="61" spans="1:55" s="75" customFormat="1" x14ac:dyDescent="0.2">
      <c r="B61" s="24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AJ61" s="18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58"/>
      <c r="AW61" s="58"/>
      <c r="AX61" s="58"/>
      <c r="AY61" s="58"/>
      <c r="AZ61" s="58"/>
      <c r="BA61" s="58"/>
      <c r="BB61" s="58"/>
      <c r="BC61" s="58"/>
    </row>
    <row r="62" spans="1:55" s="75" customFormat="1" x14ac:dyDescent="0.2">
      <c r="B62" s="2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AJ62" s="18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58"/>
      <c r="AW62" s="58"/>
      <c r="AX62" s="58"/>
      <c r="AY62" s="58"/>
      <c r="AZ62" s="58"/>
      <c r="BA62" s="58"/>
      <c r="BB62" s="58"/>
      <c r="BC62" s="58"/>
    </row>
    <row r="63" spans="1:55" s="75" customFormat="1" x14ac:dyDescent="0.2">
      <c r="B63" s="24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AJ63" s="19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58"/>
      <c r="AW63" s="58"/>
      <c r="AX63" s="58"/>
      <c r="AY63" s="58"/>
      <c r="AZ63" s="58"/>
      <c r="BA63" s="58"/>
      <c r="BB63" s="58"/>
      <c r="BC63" s="58"/>
    </row>
    <row r="64" spans="1:55" s="75" customFormat="1" x14ac:dyDescent="0.2">
      <c r="B64" s="24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AJ64" s="19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58"/>
      <c r="AW64" s="58"/>
      <c r="AX64" s="58"/>
      <c r="AY64" s="58"/>
      <c r="AZ64" s="58"/>
      <c r="BA64" s="58"/>
      <c r="BB64" s="58"/>
      <c r="BC64" s="58"/>
    </row>
    <row r="65" spans="1:55" s="75" customFormat="1" x14ac:dyDescent="0.2">
      <c r="A65" s="66"/>
      <c r="B65" s="24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J65" s="18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58"/>
      <c r="AW65" s="58"/>
      <c r="AX65" s="58"/>
      <c r="AY65" s="58"/>
      <c r="AZ65" s="58"/>
      <c r="BA65" s="58"/>
      <c r="BB65" s="58"/>
      <c r="BC65" s="58"/>
    </row>
    <row r="66" spans="1:55" s="75" customFormat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AJ66" s="18"/>
      <c r="AK66" s="61"/>
      <c r="AL66" s="22"/>
      <c r="AM66" s="22"/>
      <c r="AN66" s="22"/>
      <c r="AO66" s="22"/>
      <c r="AP66" s="22"/>
      <c r="AQ66" s="15"/>
      <c r="AR66" s="15"/>
      <c r="AS66" s="15"/>
      <c r="AT66" s="15"/>
      <c r="AU66" s="15"/>
      <c r="AV66" s="58"/>
      <c r="AW66" s="58"/>
      <c r="AX66" s="58"/>
      <c r="AY66" s="58"/>
      <c r="AZ66" s="58"/>
      <c r="BA66" s="58"/>
      <c r="BB66" s="58"/>
      <c r="BC66" s="58"/>
    </row>
    <row r="67" spans="1:55" s="75" customFormat="1" x14ac:dyDescent="0.2">
      <c r="B67" s="24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</row>
    <row r="68" spans="1:55" s="75" customFormat="1" x14ac:dyDescent="0.2">
      <c r="B68" s="24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</row>
    <row r="69" spans="1:55" s="75" customFormat="1" x14ac:dyDescent="0.2">
      <c r="A69" s="66"/>
      <c r="B69" s="24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</row>
    <row r="70" spans="1:55" s="75" customFormat="1" x14ac:dyDescent="0.2">
      <c r="A70" s="66"/>
      <c r="B70" s="24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AJ70" s="16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58"/>
      <c r="AW70" s="58"/>
      <c r="AX70" s="58"/>
      <c r="AY70" s="58"/>
      <c r="AZ70" s="58"/>
      <c r="BA70" s="58"/>
      <c r="BB70" s="58"/>
      <c r="BC70" s="58"/>
    </row>
    <row r="71" spans="1:55" s="75" customFormat="1" x14ac:dyDescent="0.2">
      <c r="B71" s="24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AJ71" s="18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58"/>
      <c r="AW71" s="58"/>
      <c r="AX71" s="58"/>
      <c r="AY71" s="58"/>
      <c r="AZ71" s="58"/>
      <c r="BA71" s="58"/>
      <c r="BB71" s="58"/>
      <c r="BC71" s="58"/>
    </row>
    <row r="72" spans="1:55" s="75" customFormat="1" x14ac:dyDescent="0.2">
      <c r="B72" s="24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AJ72" s="18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58"/>
      <c r="AW72" s="58"/>
      <c r="AX72" s="58"/>
      <c r="AY72" s="58"/>
      <c r="AZ72" s="58"/>
      <c r="BA72" s="58"/>
      <c r="BB72" s="58"/>
      <c r="BC72" s="58"/>
    </row>
    <row r="73" spans="1:55" s="75" customFormat="1" x14ac:dyDescent="0.2">
      <c r="B73" s="24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AJ73" s="18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58"/>
      <c r="AW73" s="58"/>
      <c r="AX73" s="58"/>
      <c r="AY73" s="58"/>
      <c r="AZ73" s="58"/>
      <c r="BA73" s="58"/>
      <c r="BB73" s="58"/>
      <c r="BC73" s="58"/>
    </row>
    <row r="74" spans="1:55" s="75" customFormat="1" x14ac:dyDescent="0.2">
      <c r="B74" s="2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AJ74" s="18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58"/>
      <c r="AW74" s="58"/>
      <c r="AX74" s="58"/>
      <c r="AY74" s="58"/>
      <c r="AZ74" s="58"/>
      <c r="BA74" s="58"/>
      <c r="BB74" s="58"/>
      <c r="BC74" s="58"/>
    </row>
    <row r="75" spans="1:55" s="75" customFormat="1" x14ac:dyDescent="0.2">
      <c r="B75" s="2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AJ75" s="19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58"/>
      <c r="AW75" s="58"/>
      <c r="AX75" s="58"/>
      <c r="AY75" s="58"/>
      <c r="AZ75" s="58"/>
      <c r="BA75" s="58"/>
      <c r="BB75" s="58"/>
      <c r="BC75" s="58"/>
    </row>
    <row r="76" spans="1:55" s="75" customFormat="1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AJ76" s="62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58"/>
      <c r="AW76" s="58"/>
      <c r="AX76" s="58"/>
      <c r="AY76" s="58"/>
      <c r="AZ76" s="58"/>
      <c r="BA76" s="58"/>
      <c r="BB76" s="58"/>
      <c r="BC76" s="58"/>
    </row>
    <row r="77" spans="1:55" s="75" customFormat="1" x14ac:dyDescent="0.2">
      <c r="B77" s="2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AJ77" s="18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58"/>
      <c r="AW77" s="58"/>
      <c r="AX77" s="58"/>
      <c r="AY77" s="58"/>
      <c r="AZ77" s="58"/>
      <c r="BA77" s="58"/>
      <c r="BB77" s="58"/>
      <c r="BC77" s="58"/>
    </row>
    <row r="78" spans="1:55" s="75" customFormat="1" x14ac:dyDescent="0.2">
      <c r="B78" s="2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AJ78" s="18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58"/>
      <c r="AW78" s="58"/>
      <c r="AX78" s="58"/>
      <c r="AY78" s="58"/>
      <c r="AZ78" s="58"/>
      <c r="BA78" s="58"/>
      <c r="BB78" s="58"/>
      <c r="BC78" s="58"/>
    </row>
    <row r="79" spans="1:55" s="75" customFormat="1" x14ac:dyDescent="0.2">
      <c r="B79" s="24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AJ79" s="19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58"/>
      <c r="AW79" s="58"/>
      <c r="AX79" s="58"/>
      <c r="AY79" s="58"/>
      <c r="AZ79" s="58"/>
      <c r="BA79" s="58"/>
      <c r="BB79" s="58"/>
      <c r="BC79" s="58"/>
    </row>
    <row r="80" spans="1:55" s="75" customFormat="1" x14ac:dyDescent="0.2">
      <c r="B80" s="24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AJ80" s="18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58"/>
      <c r="AW80" s="58"/>
      <c r="AX80" s="58"/>
      <c r="AY80" s="58"/>
      <c r="AZ80" s="58"/>
      <c r="BA80" s="58"/>
      <c r="BB80" s="58"/>
      <c r="BC80" s="58"/>
    </row>
    <row r="81" spans="1:55" s="75" customFormat="1" x14ac:dyDescent="0.2">
      <c r="A81" s="66"/>
      <c r="B81" s="24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J81" s="18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58"/>
      <c r="AW81" s="58"/>
      <c r="AX81" s="58"/>
      <c r="AY81" s="58"/>
      <c r="AZ81" s="58"/>
      <c r="BA81" s="58"/>
      <c r="BB81" s="58"/>
      <c r="BC81" s="58"/>
    </row>
    <row r="82" spans="1:55" s="75" customFormat="1" x14ac:dyDescent="0.2">
      <c r="B82" s="24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AJ82" s="19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58"/>
      <c r="AW82" s="58"/>
      <c r="AX82" s="58"/>
      <c r="AY82" s="58"/>
      <c r="AZ82" s="58"/>
      <c r="BA82" s="58"/>
      <c r="BB82" s="58"/>
      <c r="BC82" s="58"/>
    </row>
    <row r="83" spans="1:55" s="75" customFormat="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AJ83" s="19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58"/>
      <c r="AW83" s="58"/>
      <c r="AX83" s="58"/>
      <c r="AY83" s="58"/>
      <c r="AZ83" s="58"/>
      <c r="BA83" s="58"/>
      <c r="BB83" s="58"/>
      <c r="BC83" s="58"/>
    </row>
    <row r="84" spans="1:55" s="75" customFormat="1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AJ84" s="18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58"/>
      <c r="AW84" s="58"/>
      <c r="AX84" s="58"/>
      <c r="AY84" s="58"/>
      <c r="AZ84" s="58"/>
      <c r="BA84" s="58"/>
      <c r="BB84" s="58"/>
      <c r="BC84" s="58"/>
    </row>
    <row r="85" spans="1:55" s="75" customForma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AJ85" s="18"/>
      <c r="AK85" s="61"/>
      <c r="AL85" s="22"/>
      <c r="AM85" s="22"/>
      <c r="AN85" s="22"/>
      <c r="AO85" s="22"/>
      <c r="AP85" s="22"/>
      <c r="AQ85" s="15"/>
      <c r="AR85" s="15"/>
      <c r="AS85" s="15"/>
      <c r="AT85" s="15"/>
      <c r="AU85" s="15"/>
      <c r="AV85" s="58"/>
      <c r="AW85" s="58"/>
      <c r="AX85" s="58"/>
      <c r="AY85" s="58"/>
      <c r="AZ85" s="58"/>
      <c r="BA85" s="58"/>
      <c r="BB85" s="58"/>
      <c r="BC85" s="58"/>
    </row>
    <row r="86" spans="1:55" s="75" customForma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</row>
    <row r="87" spans="1:55" s="75" customForma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</row>
    <row r="88" spans="1:55" s="75" customForma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</row>
    <row r="89" spans="1:55" s="75" customFormat="1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</row>
    <row r="90" spans="1:55" s="75" customFormat="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</row>
    <row r="91" spans="1:55" s="75" customFormat="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</row>
    <row r="92" spans="1:55" s="75" customFormat="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</row>
    <row r="93" spans="1:55" s="75" customFormat="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</row>
    <row r="94" spans="1:55" x14ac:dyDescent="0.2">
      <c r="AV94" s="58"/>
      <c r="AW94" s="58"/>
      <c r="AX94" s="58"/>
      <c r="AY94" s="58"/>
      <c r="AZ94" s="58"/>
      <c r="BA94" s="58"/>
      <c r="BB94" s="58"/>
      <c r="BC94" s="58"/>
    </row>
    <row r="95" spans="1:55" x14ac:dyDescent="0.2">
      <c r="AV95" s="58"/>
      <c r="AW95" s="58"/>
      <c r="AX95" s="58"/>
      <c r="AY95" s="58"/>
      <c r="AZ95" s="58"/>
      <c r="BA95" s="58"/>
      <c r="BB95" s="58"/>
      <c r="BC95" s="58"/>
    </row>
    <row r="96" spans="1:55" x14ac:dyDescent="0.2">
      <c r="AV96" s="58"/>
      <c r="AW96" s="58"/>
      <c r="AX96" s="58"/>
      <c r="AY96" s="58"/>
      <c r="AZ96" s="58"/>
      <c r="BA96" s="58"/>
      <c r="BB96" s="58"/>
      <c r="BC96" s="58"/>
    </row>
    <row r="97" spans="48:55" x14ac:dyDescent="0.2">
      <c r="AV97" s="58"/>
      <c r="AW97" s="58"/>
      <c r="AX97" s="58"/>
      <c r="AY97" s="58"/>
      <c r="AZ97" s="58"/>
      <c r="BA97" s="58"/>
      <c r="BB97" s="58"/>
      <c r="BC97" s="58"/>
    </row>
    <row r="98" spans="48:55" x14ac:dyDescent="0.2">
      <c r="AV98" s="58"/>
      <c r="AW98" s="58"/>
      <c r="AX98" s="58"/>
      <c r="AY98" s="58"/>
      <c r="AZ98" s="58"/>
      <c r="BA98" s="58"/>
      <c r="BB98" s="58"/>
      <c r="BC98" s="58"/>
    </row>
  </sheetData>
  <mergeCells count="1">
    <mergeCell ref="B2:M2"/>
  </mergeCells>
  <hyperlinks>
    <hyperlink ref="A22" r:id="rId1" xr:uid="{D5CC3BAA-B35A-6A49-A515-6A23B30E5153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C6676-0E22-1D46-9F30-7E925A95EC08}">
  <dimension ref="A1:BG83"/>
  <sheetViews>
    <sheetView showGridLines="0" zoomScale="106" workbookViewId="0">
      <pane ySplit="1" topLeftCell="A2" activePane="bottomLeft" state="frozen"/>
      <selection pane="bottomLeft" activeCell="B22" sqref="B22:M22"/>
    </sheetView>
  </sheetViews>
  <sheetFormatPr baseColWidth="10" defaultRowHeight="16" x14ac:dyDescent="0.2"/>
  <cols>
    <col min="1" max="1" width="26.6640625" style="57" customWidth="1"/>
    <col min="2" max="2" width="48.5" style="1" customWidth="1"/>
    <col min="3" max="13" width="10.83203125" style="1"/>
    <col min="14" max="34" width="0" style="57" hidden="1" customWidth="1"/>
    <col min="35" max="35" width="10.83203125" style="57"/>
    <col min="36" max="36" width="45.5" style="57" bestFit="1" customWidth="1"/>
    <col min="37" max="46" width="10.83203125" style="57"/>
    <col min="47" max="59" width="10.83203125" style="58"/>
    <col min="60" max="16384" width="10.83203125" style="57"/>
  </cols>
  <sheetData>
    <row r="1" spans="1:59" ht="91" customHeight="1" x14ac:dyDescent="0.2">
      <c r="A1" s="70"/>
      <c r="B1" s="23"/>
      <c r="C1" s="41" t="s">
        <v>18</v>
      </c>
      <c r="D1" s="41" t="s">
        <v>19</v>
      </c>
      <c r="E1" s="41" t="s">
        <v>20</v>
      </c>
      <c r="F1" s="41" t="s">
        <v>21</v>
      </c>
      <c r="G1" s="41" t="s">
        <v>22</v>
      </c>
      <c r="H1" s="41" t="s">
        <v>23</v>
      </c>
      <c r="I1" s="41" t="s">
        <v>24</v>
      </c>
      <c r="J1" s="41" t="s">
        <v>25</v>
      </c>
      <c r="K1" s="41" t="s">
        <v>26</v>
      </c>
      <c r="L1" s="41" t="s">
        <v>27</v>
      </c>
      <c r="M1" s="42" t="s">
        <v>28</v>
      </c>
    </row>
    <row r="2" spans="1:59" ht="14" customHeight="1" x14ac:dyDescent="0.2">
      <c r="A2" s="63" t="s">
        <v>34</v>
      </c>
      <c r="B2" s="136" t="s">
        <v>11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59" x14ac:dyDescent="0.2">
      <c r="A3" s="82">
        <v>0.12</v>
      </c>
      <c r="B3" s="49" t="s">
        <v>0</v>
      </c>
      <c r="C3" s="50">
        <v>100</v>
      </c>
      <c r="D3" s="50">
        <f>C3*(1+$A$3)</f>
        <v>112.00000000000001</v>
      </c>
      <c r="E3" s="50">
        <f t="shared" ref="E3:M3" si="0">D3*(1+$A$3)</f>
        <v>125.44000000000003</v>
      </c>
      <c r="F3" s="50">
        <f t="shared" si="0"/>
        <v>140.49280000000005</v>
      </c>
      <c r="G3" s="50">
        <f t="shared" si="0"/>
        <v>157.35193600000005</v>
      </c>
      <c r="H3" s="50">
        <f t="shared" si="0"/>
        <v>176.23416832000007</v>
      </c>
      <c r="I3" s="50">
        <f t="shared" si="0"/>
        <v>197.38226851840008</v>
      </c>
      <c r="J3" s="50">
        <f t="shared" si="0"/>
        <v>221.0681407406081</v>
      </c>
      <c r="K3" s="50">
        <f t="shared" si="0"/>
        <v>247.59631762948109</v>
      </c>
      <c r="L3" s="50">
        <f t="shared" si="0"/>
        <v>277.30787574501886</v>
      </c>
      <c r="M3" s="51">
        <f t="shared" si="0"/>
        <v>310.58482083442118</v>
      </c>
      <c r="AU3" s="16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4"/>
    </row>
    <row r="4" spans="1:59" x14ac:dyDescent="0.2">
      <c r="A4" s="82">
        <v>0.2</v>
      </c>
      <c r="B4" s="3" t="s">
        <v>1</v>
      </c>
      <c r="C4" s="26">
        <f>C$3*$A4</f>
        <v>20</v>
      </c>
      <c r="D4" s="26">
        <f t="shared" ref="D4:M6" si="1">D$3*$A4</f>
        <v>22.400000000000006</v>
      </c>
      <c r="E4" s="26">
        <f t="shared" si="1"/>
        <v>25.088000000000008</v>
      </c>
      <c r="F4" s="26">
        <f t="shared" si="1"/>
        <v>28.09856000000001</v>
      </c>
      <c r="G4" s="26">
        <f t="shared" si="1"/>
        <v>31.470387200000012</v>
      </c>
      <c r="H4" s="26">
        <f t="shared" si="1"/>
        <v>35.246833664000015</v>
      </c>
      <c r="I4" s="26">
        <f t="shared" si="1"/>
        <v>39.476453703680022</v>
      </c>
      <c r="J4" s="26">
        <f t="shared" si="1"/>
        <v>44.213628148121622</v>
      </c>
      <c r="K4" s="26">
        <f t="shared" si="1"/>
        <v>49.519263525896221</v>
      </c>
      <c r="L4" s="26">
        <f t="shared" si="1"/>
        <v>55.461575149003778</v>
      </c>
      <c r="M4" s="27">
        <f t="shared" si="1"/>
        <v>62.116964166884237</v>
      </c>
      <c r="AU4" s="18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</row>
    <row r="5" spans="1:59" x14ac:dyDescent="0.2">
      <c r="A5" s="82">
        <v>0.4</v>
      </c>
      <c r="B5" s="3" t="s">
        <v>2</v>
      </c>
      <c r="C5" s="26">
        <f>C$3*$A5</f>
        <v>40</v>
      </c>
      <c r="D5" s="26">
        <f t="shared" si="1"/>
        <v>44.800000000000011</v>
      </c>
      <c r="E5" s="26">
        <f t="shared" si="1"/>
        <v>50.176000000000016</v>
      </c>
      <c r="F5" s="26">
        <f t="shared" si="1"/>
        <v>56.19712000000002</v>
      </c>
      <c r="G5" s="26">
        <f t="shared" si="1"/>
        <v>62.940774400000024</v>
      </c>
      <c r="H5" s="26">
        <f t="shared" si="1"/>
        <v>70.493667328000029</v>
      </c>
      <c r="I5" s="26">
        <f t="shared" si="1"/>
        <v>78.952907407360044</v>
      </c>
      <c r="J5" s="26">
        <f t="shared" si="1"/>
        <v>88.427256296243243</v>
      </c>
      <c r="K5" s="26">
        <f t="shared" si="1"/>
        <v>99.038527051792443</v>
      </c>
      <c r="L5" s="26">
        <f t="shared" si="1"/>
        <v>110.92315029800756</v>
      </c>
      <c r="M5" s="27">
        <f t="shared" si="1"/>
        <v>124.23392833376847</v>
      </c>
      <c r="AJ5" s="71" t="s">
        <v>17</v>
      </c>
      <c r="AU5" s="18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4"/>
    </row>
    <row r="6" spans="1:59" x14ac:dyDescent="0.2">
      <c r="A6" s="82">
        <v>0.15</v>
      </c>
      <c r="B6" s="3" t="s">
        <v>8</v>
      </c>
      <c r="C6" s="26">
        <f>C$3*$A6</f>
        <v>15</v>
      </c>
      <c r="D6" s="26">
        <f t="shared" si="1"/>
        <v>16.8</v>
      </c>
      <c r="E6" s="26">
        <f t="shared" si="1"/>
        <v>18.816000000000003</v>
      </c>
      <c r="F6" s="26">
        <f t="shared" si="1"/>
        <v>21.073920000000005</v>
      </c>
      <c r="G6" s="26">
        <f t="shared" si="1"/>
        <v>23.602790400000007</v>
      </c>
      <c r="H6" s="26">
        <f t="shared" si="1"/>
        <v>26.435125248000009</v>
      </c>
      <c r="I6" s="26">
        <f t="shared" si="1"/>
        <v>29.607340277760009</v>
      </c>
      <c r="J6" s="26">
        <f t="shared" si="1"/>
        <v>33.160221111091211</v>
      </c>
      <c r="K6" s="26">
        <f t="shared" si="1"/>
        <v>37.139447644422162</v>
      </c>
      <c r="L6" s="26">
        <f t="shared" si="1"/>
        <v>41.596181361752826</v>
      </c>
      <c r="M6" s="27">
        <f t="shared" si="1"/>
        <v>46.587723125163173</v>
      </c>
      <c r="AJ6" s="72" t="str">
        <f>"#of years of Capitalization of "&amp;B5</f>
        <v>#of years of Capitalization of R&amp;D</v>
      </c>
      <c r="AU6" s="18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4"/>
    </row>
    <row r="7" spans="1:59" x14ac:dyDescent="0.2">
      <c r="A7" s="82"/>
      <c r="B7" s="52" t="s">
        <v>3</v>
      </c>
      <c r="C7" s="43">
        <f>C3-SUM(C4:C6)</f>
        <v>25</v>
      </c>
      <c r="D7" s="43">
        <f t="shared" ref="D7:K7" si="2">D3-SUM(D4:D6)</f>
        <v>28</v>
      </c>
      <c r="E7" s="43">
        <f t="shared" si="2"/>
        <v>31.36</v>
      </c>
      <c r="F7" s="43">
        <f t="shared" si="2"/>
        <v>35.123200000000011</v>
      </c>
      <c r="G7" s="43">
        <f t="shared" si="2"/>
        <v>39.337984000000006</v>
      </c>
      <c r="H7" s="43">
        <f t="shared" si="2"/>
        <v>44.058542079999995</v>
      </c>
      <c r="I7" s="43">
        <f t="shared" si="2"/>
        <v>49.345567129599999</v>
      </c>
      <c r="J7" s="43">
        <f t="shared" si="2"/>
        <v>55.267035185152025</v>
      </c>
      <c r="K7" s="43">
        <f t="shared" si="2"/>
        <v>61.899079407370294</v>
      </c>
      <c r="L7" s="43">
        <f t="shared" ref="L7:M7" si="3">L3-SUM(L4:L6)</f>
        <v>69.326968936254701</v>
      </c>
      <c r="M7" s="44">
        <f t="shared" si="3"/>
        <v>77.646205208605295</v>
      </c>
      <c r="AJ7" s="73">
        <v>5</v>
      </c>
      <c r="AU7" s="18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4"/>
    </row>
    <row r="8" spans="1:59" x14ac:dyDescent="0.2">
      <c r="A8" s="82">
        <v>0.3</v>
      </c>
      <c r="B8" s="3" t="s">
        <v>4</v>
      </c>
      <c r="C8" s="26">
        <f>C$7*$A8</f>
        <v>7.5</v>
      </c>
      <c r="D8" s="26">
        <f t="shared" ref="D8:M8" si="4">D$7*$A8</f>
        <v>8.4</v>
      </c>
      <c r="E8" s="26">
        <f t="shared" si="4"/>
        <v>9.4079999999999995</v>
      </c>
      <c r="F8" s="26">
        <f t="shared" si="4"/>
        <v>10.536960000000002</v>
      </c>
      <c r="G8" s="26">
        <f t="shared" si="4"/>
        <v>11.801395200000002</v>
      </c>
      <c r="H8" s="26">
        <f t="shared" si="4"/>
        <v>13.217562623999997</v>
      </c>
      <c r="I8" s="26">
        <f t="shared" si="4"/>
        <v>14.803670138879999</v>
      </c>
      <c r="J8" s="26">
        <f t="shared" si="4"/>
        <v>16.580110555545605</v>
      </c>
      <c r="K8" s="26">
        <f t="shared" si="4"/>
        <v>18.569723822211088</v>
      </c>
      <c r="L8" s="26">
        <f t="shared" si="4"/>
        <v>20.79809068087641</v>
      </c>
      <c r="M8" s="27">
        <f t="shared" si="4"/>
        <v>23.293861562581586</v>
      </c>
      <c r="AJ8" s="74"/>
      <c r="AU8" s="19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4"/>
    </row>
    <row r="9" spans="1:59" x14ac:dyDescent="0.2">
      <c r="A9" s="82"/>
      <c r="B9" s="3" t="s">
        <v>5</v>
      </c>
      <c r="C9" s="26">
        <f>C7-C8</f>
        <v>17.5</v>
      </c>
      <c r="D9" s="26">
        <f t="shared" ref="D9:M9" si="5">D7-D8</f>
        <v>19.600000000000001</v>
      </c>
      <c r="E9" s="26">
        <f t="shared" si="5"/>
        <v>21.951999999999998</v>
      </c>
      <c r="F9" s="26">
        <f t="shared" si="5"/>
        <v>24.586240000000011</v>
      </c>
      <c r="G9" s="26">
        <f t="shared" si="5"/>
        <v>27.536588800000004</v>
      </c>
      <c r="H9" s="26">
        <f t="shared" si="5"/>
        <v>30.840979455999999</v>
      </c>
      <c r="I9" s="26">
        <f t="shared" si="5"/>
        <v>34.541896990719998</v>
      </c>
      <c r="J9" s="26">
        <f t="shared" si="5"/>
        <v>38.686924629606423</v>
      </c>
      <c r="K9" s="26">
        <f t="shared" si="5"/>
        <v>43.329355585159206</v>
      </c>
      <c r="L9" s="26">
        <f t="shared" si="5"/>
        <v>48.528878255378288</v>
      </c>
      <c r="M9" s="27">
        <f t="shared" si="5"/>
        <v>54.352343646023712</v>
      </c>
      <c r="AJ9" s="72" t="str">
        <f>"#of years of Capitalization of "&amp;B6</f>
        <v>#of years of Capitalization of Sales &amp; Marketing</v>
      </c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14"/>
    </row>
    <row r="10" spans="1:59" x14ac:dyDescent="0.2">
      <c r="A10" s="82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AJ10" s="73">
        <v>3</v>
      </c>
      <c r="AU10" s="20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4"/>
    </row>
    <row r="11" spans="1:59" x14ac:dyDescent="0.2">
      <c r="A11" s="82"/>
      <c r="B11" s="52" t="s">
        <v>3</v>
      </c>
      <c r="C11" s="43">
        <f>C7</f>
        <v>25</v>
      </c>
      <c r="D11" s="43">
        <f t="shared" ref="D11:M11" si="6">D7</f>
        <v>28</v>
      </c>
      <c r="E11" s="43">
        <f t="shared" si="6"/>
        <v>31.36</v>
      </c>
      <c r="F11" s="43">
        <f t="shared" si="6"/>
        <v>35.123200000000011</v>
      </c>
      <c r="G11" s="43">
        <f t="shared" si="6"/>
        <v>39.337984000000006</v>
      </c>
      <c r="H11" s="43">
        <f t="shared" si="6"/>
        <v>44.058542079999995</v>
      </c>
      <c r="I11" s="43">
        <f t="shared" si="6"/>
        <v>49.345567129599999</v>
      </c>
      <c r="J11" s="43">
        <f t="shared" si="6"/>
        <v>55.267035185152025</v>
      </c>
      <c r="K11" s="43">
        <f t="shared" si="6"/>
        <v>61.899079407370294</v>
      </c>
      <c r="L11" s="43">
        <f t="shared" si="6"/>
        <v>69.326968936254701</v>
      </c>
      <c r="M11" s="44">
        <f t="shared" si="6"/>
        <v>77.646205208605295</v>
      </c>
      <c r="AJ11" s="64"/>
      <c r="AU11" s="19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4"/>
    </row>
    <row r="12" spans="1:59" x14ac:dyDescent="0.2">
      <c r="A12" s="82">
        <v>0.33</v>
      </c>
      <c r="B12" s="3" t="s">
        <v>6</v>
      </c>
      <c r="C12" s="26">
        <f>C$7*$A12</f>
        <v>8.25</v>
      </c>
      <c r="D12" s="26">
        <f t="shared" ref="D12:M12" si="7">D$7*$A12</f>
        <v>9.24</v>
      </c>
      <c r="E12" s="26">
        <f t="shared" si="7"/>
        <v>10.348800000000001</v>
      </c>
      <c r="F12" s="26">
        <f t="shared" si="7"/>
        <v>11.590656000000005</v>
      </c>
      <c r="G12" s="26">
        <f t="shared" si="7"/>
        <v>12.981534720000003</v>
      </c>
      <c r="H12" s="26">
        <f t="shared" si="7"/>
        <v>14.539318886399998</v>
      </c>
      <c r="I12" s="26">
        <f t="shared" si="7"/>
        <v>16.284037152768001</v>
      </c>
      <c r="J12" s="26">
        <f t="shared" si="7"/>
        <v>18.238121611100169</v>
      </c>
      <c r="K12" s="26">
        <f t="shared" si="7"/>
        <v>20.426696204432197</v>
      </c>
      <c r="L12" s="26">
        <f t="shared" si="7"/>
        <v>22.877899748964051</v>
      </c>
      <c r="M12" s="27">
        <f t="shared" si="7"/>
        <v>25.62324771883975</v>
      </c>
      <c r="AJ12" s="60" t="s">
        <v>13</v>
      </c>
      <c r="AU12" s="18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4"/>
    </row>
    <row r="13" spans="1:59" x14ac:dyDescent="0.2">
      <c r="A13" s="82"/>
      <c r="B13" s="52" t="s">
        <v>7</v>
      </c>
      <c r="C13" s="43">
        <f>C11-C12</f>
        <v>16.75</v>
      </c>
      <c r="D13" s="43">
        <f t="shared" ref="D13:M13" si="8">D11-D12</f>
        <v>18.759999999999998</v>
      </c>
      <c r="E13" s="43">
        <f t="shared" si="8"/>
        <v>21.011199999999999</v>
      </c>
      <c r="F13" s="43">
        <f t="shared" si="8"/>
        <v>23.532544000000009</v>
      </c>
      <c r="G13" s="43">
        <f t="shared" si="8"/>
        <v>26.356449280000003</v>
      </c>
      <c r="H13" s="43">
        <f t="shared" si="8"/>
        <v>29.519223193599998</v>
      </c>
      <c r="I13" s="43">
        <f t="shared" si="8"/>
        <v>33.061529976831999</v>
      </c>
      <c r="J13" s="43">
        <f t="shared" si="8"/>
        <v>37.028913574051856</v>
      </c>
      <c r="K13" s="43">
        <f t="shared" si="8"/>
        <v>41.472383202938097</v>
      </c>
      <c r="L13" s="43">
        <f t="shared" si="8"/>
        <v>46.449069187290647</v>
      </c>
      <c r="M13" s="44">
        <f t="shared" si="8"/>
        <v>52.022957489765545</v>
      </c>
      <c r="AJ13" s="65">
        <v>7.0000000000000007E-2</v>
      </c>
      <c r="AU13" s="19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14"/>
    </row>
    <row r="14" spans="1:59" x14ac:dyDescent="0.2">
      <c r="A14" s="82"/>
      <c r="B14" s="3"/>
      <c r="C14" s="26"/>
      <c r="D14" s="32"/>
      <c r="E14" s="26"/>
      <c r="F14" s="26"/>
      <c r="G14" s="26"/>
      <c r="H14" s="26"/>
      <c r="I14" s="26"/>
      <c r="J14" s="26"/>
      <c r="K14" s="26"/>
      <c r="L14" s="26"/>
      <c r="M14" s="27"/>
      <c r="AU14" s="18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14"/>
    </row>
    <row r="15" spans="1:59" x14ac:dyDescent="0.2">
      <c r="A15" s="82">
        <v>0.09</v>
      </c>
      <c r="B15" s="3" t="s">
        <v>12</v>
      </c>
      <c r="C15" s="26">
        <v>237</v>
      </c>
      <c r="D15" s="26">
        <f>C15*(1+$A$15)</f>
        <v>258.33000000000004</v>
      </c>
      <c r="E15" s="26">
        <f t="shared" ref="E15:M15" si="9">D15*(1+$A$15)</f>
        <v>281.57970000000006</v>
      </c>
      <c r="F15" s="26">
        <f t="shared" si="9"/>
        <v>306.92187300000006</v>
      </c>
      <c r="G15" s="26">
        <f t="shared" si="9"/>
        <v>334.54484157000007</v>
      </c>
      <c r="H15" s="26">
        <f t="shared" si="9"/>
        <v>364.65387731130011</v>
      </c>
      <c r="I15" s="26">
        <f t="shared" si="9"/>
        <v>397.47272626931715</v>
      </c>
      <c r="J15" s="26">
        <f t="shared" si="9"/>
        <v>433.24527163355572</v>
      </c>
      <c r="K15" s="26">
        <f t="shared" si="9"/>
        <v>472.23734608057578</v>
      </c>
      <c r="L15" s="26">
        <f t="shared" si="9"/>
        <v>514.7387072278276</v>
      </c>
      <c r="M15" s="27">
        <f t="shared" si="9"/>
        <v>561.06519087833215</v>
      </c>
      <c r="AU15" s="18"/>
      <c r="AV15" s="61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4"/>
    </row>
    <row r="16" spans="1:59" x14ac:dyDescent="0.2">
      <c r="A16" s="82"/>
      <c r="B16" s="52" t="s">
        <v>32</v>
      </c>
      <c r="C16" s="45">
        <f>C13/C15</f>
        <v>7.0675105485232065E-2</v>
      </c>
      <c r="D16" s="45">
        <f t="shared" ref="D16:M16" si="10">D13/D15</f>
        <v>7.2620291874733844E-2</v>
      </c>
      <c r="E16" s="45">
        <f t="shared" si="10"/>
        <v>7.4619015504313685E-2</v>
      </c>
      <c r="F16" s="45">
        <f t="shared" si="10"/>
        <v>7.6672749875992069E-2</v>
      </c>
      <c r="G16" s="45">
        <f t="shared" si="10"/>
        <v>7.8783009046890909E-2</v>
      </c>
      <c r="H16" s="45">
        <f t="shared" si="10"/>
        <v>8.0951348745429169E-2</v>
      </c>
      <c r="I16" s="45">
        <f t="shared" si="10"/>
        <v>8.317936751823915E-2</v>
      </c>
      <c r="J16" s="45">
        <f t="shared" si="10"/>
        <v>8.5468707908649438E-2</v>
      </c>
      <c r="K16" s="45">
        <f t="shared" si="10"/>
        <v>8.782105766760312E-2</v>
      </c>
      <c r="L16" s="45">
        <f t="shared" si="10"/>
        <v>9.0238150997904082E-2</v>
      </c>
      <c r="M16" s="46">
        <f t="shared" si="10"/>
        <v>9.27217698327088E-2</v>
      </c>
      <c r="AU16" s="12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4"/>
    </row>
    <row r="17" spans="1:59" x14ac:dyDescent="0.2">
      <c r="A17" s="82"/>
      <c r="B17" s="3" t="s">
        <v>14</v>
      </c>
      <c r="C17" s="28">
        <f t="shared" ref="C17:M17" si="11">(C16-$AJ$13)*C15</f>
        <v>0.15999999999999778</v>
      </c>
      <c r="D17" s="28">
        <f t="shared" si="11"/>
        <v>0.6768999999999924</v>
      </c>
      <c r="E17" s="28">
        <f t="shared" si="11"/>
        <v>1.3006209999999945</v>
      </c>
      <c r="F17" s="28">
        <f t="shared" si="11"/>
        <v>2.0480128900000021</v>
      </c>
      <c r="G17" s="28">
        <f t="shared" si="11"/>
        <v>2.9383103700999942</v>
      </c>
      <c r="H17" s="28">
        <f t="shared" si="11"/>
        <v>3.9934517818089863</v>
      </c>
      <c r="I17" s="28">
        <f t="shared" si="11"/>
        <v>5.238439137979797</v>
      </c>
      <c r="J17" s="28">
        <f t="shared" si="11"/>
        <v>6.7017445597029548</v>
      </c>
      <c r="K17" s="28">
        <f t="shared" si="11"/>
        <v>8.4157689772977893</v>
      </c>
      <c r="L17" s="28">
        <f t="shared" si="11"/>
        <v>10.417359681342713</v>
      </c>
      <c r="M17" s="33">
        <f t="shared" si="11"/>
        <v>12.748394128282289</v>
      </c>
      <c r="BG17" s="14"/>
    </row>
    <row r="18" spans="1:59" x14ac:dyDescent="0.2">
      <c r="A18" s="82"/>
      <c r="B18" s="3" t="s">
        <v>15</v>
      </c>
      <c r="C18" s="29">
        <f>C13/C3</f>
        <v>0.16750000000000001</v>
      </c>
      <c r="D18" s="29">
        <f t="shared" ref="D18:M18" si="12">D13/D3</f>
        <v>0.16749999999999995</v>
      </c>
      <c r="E18" s="29">
        <f t="shared" si="12"/>
        <v>0.16749999999999995</v>
      </c>
      <c r="F18" s="29">
        <f t="shared" si="12"/>
        <v>0.16750000000000001</v>
      </c>
      <c r="G18" s="29">
        <f t="shared" si="12"/>
        <v>0.16749999999999995</v>
      </c>
      <c r="H18" s="29">
        <f t="shared" si="12"/>
        <v>0.16749999999999993</v>
      </c>
      <c r="I18" s="29">
        <f t="shared" si="12"/>
        <v>0.16749999999999993</v>
      </c>
      <c r="J18" s="29">
        <f t="shared" si="12"/>
        <v>0.16750000000000001</v>
      </c>
      <c r="K18" s="29">
        <f t="shared" si="12"/>
        <v>0.16750000000000007</v>
      </c>
      <c r="L18" s="29">
        <f t="shared" si="12"/>
        <v>0.16749999999999995</v>
      </c>
      <c r="M18" s="34">
        <f t="shared" si="12"/>
        <v>0.16749999999999998</v>
      </c>
      <c r="BG18" s="14"/>
    </row>
    <row r="19" spans="1:59" x14ac:dyDescent="0.2">
      <c r="A19" s="82"/>
      <c r="B19" s="3" t="s">
        <v>16</v>
      </c>
      <c r="C19" s="31">
        <f>C3/C15</f>
        <v>0.4219409282700422</v>
      </c>
      <c r="D19" s="31">
        <f t="shared" ref="D19:M19" si="13">D3/D15</f>
        <v>0.43355398134169471</v>
      </c>
      <c r="E19" s="31">
        <f t="shared" si="13"/>
        <v>0.44548665972724594</v>
      </c>
      <c r="F19" s="31">
        <f t="shared" si="13"/>
        <v>0.45774776045368398</v>
      </c>
      <c r="G19" s="31">
        <f t="shared" si="13"/>
        <v>0.47034632266800558</v>
      </c>
      <c r="H19" s="31">
        <f t="shared" si="13"/>
        <v>0.48329163430106992</v>
      </c>
      <c r="I19" s="31">
        <f t="shared" si="13"/>
        <v>0.49659323891486079</v>
      </c>
      <c r="J19" s="31">
        <f t="shared" si="13"/>
        <v>0.51026094273820555</v>
      </c>
      <c r="K19" s="31">
        <f t="shared" si="13"/>
        <v>0.52430482189613781</v>
      </c>
      <c r="L19" s="31">
        <f t="shared" si="13"/>
        <v>0.53873522983823341</v>
      </c>
      <c r="M19" s="35">
        <f t="shared" si="13"/>
        <v>0.55356280497139587</v>
      </c>
      <c r="BG19" s="14"/>
    </row>
    <row r="20" spans="1:59" x14ac:dyDescent="0.2">
      <c r="A20" s="82"/>
      <c r="B20" s="55" t="s">
        <v>29</v>
      </c>
      <c r="C20" s="56"/>
      <c r="D20" s="47">
        <f>D13-(D15-C15)</f>
        <v>-2.5700000000000429</v>
      </c>
      <c r="E20" s="47">
        <f t="shared" ref="E20:AH20" si="14">E13-(E15-D15)</f>
        <v>-2.2385000000000197</v>
      </c>
      <c r="F20" s="47">
        <f t="shared" si="14"/>
        <v>-1.8096289999999939</v>
      </c>
      <c r="G20" s="47">
        <f t="shared" si="14"/>
        <v>-1.2665192900000086</v>
      </c>
      <c r="H20" s="47">
        <f t="shared" si="14"/>
        <v>-0.58981254770003488</v>
      </c>
      <c r="I20" s="47">
        <f t="shared" si="14"/>
        <v>0.24268101881495596</v>
      </c>
      <c r="J20" s="47">
        <f t="shared" si="14"/>
        <v>1.2563682098132887</v>
      </c>
      <c r="K20" s="47">
        <f t="shared" si="14"/>
        <v>2.4803087559180383</v>
      </c>
      <c r="L20" s="47">
        <f t="shared" si="14"/>
        <v>3.9477080400388189</v>
      </c>
      <c r="M20" s="48">
        <f t="shared" si="14"/>
        <v>5.696473839261003</v>
      </c>
      <c r="N20" s="67">
        <f t="shared" si="14"/>
        <v>561.06519087833215</v>
      </c>
      <c r="O20" s="67">
        <f t="shared" si="14"/>
        <v>0</v>
      </c>
      <c r="P20" s="67">
        <f t="shared" si="14"/>
        <v>0</v>
      </c>
      <c r="Q20" s="67">
        <f t="shared" si="14"/>
        <v>0</v>
      </c>
      <c r="R20" s="67">
        <f t="shared" si="14"/>
        <v>0</v>
      </c>
      <c r="S20" s="67">
        <f t="shared" si="14"/>
        <v>0</v>
      </c>
      <c r="T20" s="67">
        <f t="shared" si="14"/>
        <v>0</v>
      </c>
      <c r="U20" s="67">
        <f t="shared" si="14"/>
        <v>0</v>
      </c>
      <c r="V20" s="67">
        <f t="shared" si="14"/>
        <v>0</v>
      </c>
      <c r="W20" s="67">
        <f t="shared" si="14"/>
        <v>0</v>
      </c>
      <c r="X20" s="67">
        <f t="shared" si="14"/>
        <v>0</v>
      </c>
      <c r="Y20" s="67">
        <f t="shared" si="14"/>
        <v>0</v>
      </c>
      <c r="Z20" s="67">
        <f t="shared" si="14"/>
        <v>0</v>
      </c>
      <c r="AA20" s="67">
        <f t="shared" si="14"/>
        <v>0</v>
      </c>
      <c r="AB20" s="67">
        <f t="shared" si="14"/>
        <v>0</v>
      </c>
      <c r="AC20" s="67">
        <f t="shared" si="14"/>
        <v>0</v>
      </c>
      <c r="AD20" s="67">
        <f t="shared" si="14"/>
        <v>0</v>
      </c>
      <c r="AE20" s="67">
        <f t="shared" si="14"/>
        <v>0</v>
      </c>
      <c r="AF20" s="67">
        <f t="shared" si="14"/>
        <v>0</v>
      </c>
      <c r="AG20" s="67">
        <f t="shared" si="14"/>
        <v>0</v>
      </c>
      <c r="AH20" s="67">
        <f t="shared" si="14"/>
        <v>0</v>
      </c>
      <c r="BG20" s="14"/>
    </row>
    <row r="21" spans="1:59" x14ac:dyDescent="0.2">
      <c r="A21" s="82"/>
      <c r="B21" s="2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BG21" s="14"/>
    </row>
    <row r="22" spans="1:59" ht="41" customHeight="1" x14ac:dyDescent="0.2">
      <c r="A22" s="83"/>
      <c r="B22" s="139" t="s">
        <v>36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1:59" x14ac:dyDescent="0.2">
      <c r="A23" s="83"/>
      <c r="B23" s="49" t="s">
        <v>3</v>
      </c>
      <c r="C23" s="50">
        <f>C7</f>
        <v>25</v>
      </c>
      <c r="D23" s="50">
        <f t="shared" ref="D23:M23" si="15">D7</f>
        <v>28</v>
      </c>
      <c r="E23" s="50">
        <f t="shared" si="15"/>
        <v>31.36</v>
      </c>
      <c r="F23" s="50">
        <f t="shared" si="15"/>
        <v>35.123200000000011</v>
      </c>
      <c r="G23" s="50">
        <f t="shared" si="15"/>
        <v>39.337984000000006</v>
      </c>
      <c r="H23" s="50">
        <f t="shared" si="15"/>
        <v>44.058542079999995</v>
      </c>
      <c r="I23" s="50">
        <f t="shared" si="15"/>
        <v>49.345567129599999</v>
      </c>
      <c r="J23" s="50">
        <f t="shared" si="15"/>
        <v>55.267035185152025</v>
      </c>
      <c r="K23" s="50">
        <f t="shared" si="15"/>
        <v>61.899079407370294</v>
      </c>
      <c r="L23" s="50">
        <f t="shared" si="15"/>
        <v>69.326968936254701</v>
      </c>
      <c r="M23" s="51">
        <f t="shared" si="15"/>
        <v>77.646205208605295</v>
      </c>
      <c r="O23" s="57">
        <v>1</v>
      </c>
      <c r="P23" s="57">
        <v>2</v>
      </c>
      <c r="Q23" s="57">
        <v>3</v>
      </c>
      <c r="R23" s="57">
        <v>4</v>
      </c>
      <c r="S23" s="57">
        <v>5</v>
      </c>
      <c r="T23" s="57">
        <v>6</v>
      </c>
      <c r="U23" s="57">
        <v>7</v>
      </c>
      <c r="V23" s="57">
        <v>8</v>
      </c>
      <c r="W23" s="57">
        <v>9</v>
      </c>
      <c r="X23" s="57">
        <v>10</v>
      </c>
      <c r="Y23" s="57">
        <v>11</v>
      </c>
    </row>
    <row r="24" spans="1:59" x14ac:dyDescent="0.2">
      <c r="A24" s="83"/>
      <c r="B24" s="3" t="str">
        <f>"+ "&amp;B5</f>
        <v>+ R&amp;D</v>
      </c>
      <c r="C24" s="26">
        <f t="shared" ref="C24:M25" si="16">C5</f>
        <v>40</v>
      </c>
      <c r="D24" s="26">
        <f t="shared" si="16"/>
        <v>44.800000000000011</v>
      </c>
      <c r="E24" s="26">
        <f t="shared" si="16"/>
        <v>50.176000000000016</v>
      </c>
      <c r="F24" s="26">
        <f t="shared" si="16"/>
        <v>56.19712000000002</v>
      </c>
      <c r="G24" s="26">
        <f t="shared" si="16"/>
        <v>62.940774400000024</v>
      </c>
      <c r="H24" s="26">
        <f t="shared" si="16"/>
        <v>70.493667328000029</v>
      </c>
      <c r="I24" s="26">
        <f t="shared" si="16"/>
        <v>78.952907407360044</v>
      </c>
      <c r="J24" s="26">
        <f t="shared" si="16"/>
        <v>88.427256296243243</v>
      </c>
      <c r="K24" s="26">
        <f t="shared" si="16"/>
        <v>99.038527051792443</v>
      </c>
      <c r="L24" s="26">
        <f t="shared" si="16"/>
        <v>110.92315029800756</v>
      </c>
      <c r="M24" s="27">
        <f t="shared" si="16"/>
        <v>124.23392833376847</v>
      </c>
      <c r="N24" s="57">
        <v>1</v>
      </c>
      <c r="O24" s="68">
        <f t="shared" ref="O24:Y24" si="17">C6/$AJ$7</f>
        <v>3</v>
      </c>
      <c r="P24" s="68">
        <f t="shared" si="17"/>
        <v>3.3600000000000003</v>
      </c>
      <c r="Q24" s="68">
        <f t="shared" si="17"/>
        <v>3.7632000000000003</v>
      </c>
      <c r="R24" s="68">
        <f t="shared" si="17"/>
        <v>4.2147840000000008</v>
      </c>
      <c r="S24" s="68">
        <f t="shared" si="17"/>
        <v>4.7205580800000018</v>
      </c>
      <c r="T24" s="68">
        <f t="shared" si="17"/>
        <v>5.2870250496000022</v>
      </c>
      <c r="U24" s="68">
        <f t="shared" si="17"/>
        <v>5.9214680555520021</v>
      </c>
      <c r="V24" s="68">
        <f t="shared" si="17"/>
        <v>6.6320442222182425</v>
      </c>
      <c r="W24" s="68">
        <f t="shared" si="17"/>
        <v>7.4278895288844327</v>
      </c>
      <c r="X24" s="68">
        <f t="shared" si="17"/>
        <v>8.3192362723505653</v>
      </c>
      <c r="Y24" s="68">
        <f t="shared" si="17"/>
        <v>9.3175446250326353</v>
      </c>
      <c r="AI24" s="86"/>
    </row>
    <row r="25" spans="1:59" x14ac:dyDescent="0.2">
      <c r="A25" s="83"/>
      <c r="B25" s="3" t="str">
        <f>"+ "&amp;B6</f>
        <v>+ Sales &amp; Marketing</v>
      </c>
      <c r="C25" s="26">
        <f t="shared" si="16"/>
        <v>15</v>
      </c>
      <c r="D25" s="26">
        <f t="shared" si="16"/>
        <v>16.8</v>
      </c>
      <c r="E25" s="26">
        <f t="shared" si="16"/>
        <v>18.816000000000003</v>
      </c>
      <c r="F25" s="26">
        <f t="shared" si="16"/>
        <v>21.073920000000005</v>
      </c>
      <c r="G25" s="26">
        <f t="shared" si="16"/>
        <v>23.602790400000007</v>
      </c>
      <c r="H25" s="26">
        <f t="shared" si="16"/>
        <v>26.435125248000009</v>
      </c>
      <c r="I25" s="26">
        <f t="shared" si="16"/>
        <v>29.607340277760009</v>
      </c>
      <c r="J25" s="26">
        <f t="shared" si="16"/>
        <v>33.160221111091211</v>
      </c>
      <c r="K25" s="26">
        <f t="shared" si="16"/>
        <v>37.139447644422162</v>
      </c>
      <c r="L25" s="26">
        <f t="shared" si="16"/>
        <v>41.596181361752826</v>
      </c>
      <c r="M25" s="27">
        <f t="shared" si="16"/>
        <v>46.587723125163173</v>
      </c>
      <c r="N25" s="57">
        <v>2</v>
      </c>
      <c r="O25" s="69">
        <f>O24</f>
        <v>3</v>
      </c>
      <c r="P25" s="69">
        <f>+O25</f>
        <v>3</v>
      </c>
      <c r="Q25" s="69"/>
      <c r="R25" s="69"/>
      <c r="S25" s="69"/>
      <c r="T25" s="69"/>
      <c r="U25" s="69"/>
      <c r="V25" s="69"/>
      <c r="W25" s="69"/>
      <c r="X25" s="69"/>
    </row>
    <row r="26" spans="1:59" hidden="1" x14ac:dyDescent="0.2">
      <c r="A26" s="83"/>
      <c r="B26" s="3"/>
      <c r="C26" s="26">
        <f t="shared" ref="C26:M26" si="18">C24/$AJ$7</f>
        <v>8</v>
      </c>
      <c r="D26" s="26">
        <f t="shared" si="18"/>
        <v>8.9600000000000026</v>
      </c>
      <c r="E26" s="26">
        <f t="shared" si="18"/>
        <v>10.035200000000003</v>
      </c>
      <c r="F26" s="26">
        <f t="shared" si="18"/>
        <v>11.239424000000003</v>
      </c>
      <c r="G26" s="26">
        <f t="shared" si="18"/>
        <v>12.588154880000005</v>
      </c>
      <c r="H26" s="26">
        <f t="shared" si="18"/>
        <v>14.098733465600006</v>
      </c>
      <c r="I26" s="26">
        <f t="shared" si="18"/>
        <v>15.790581481472008</v>
      </c>
      <c r="J26" s="26">
        <f t="shared" si="18"/>
        <v>17.685451259248648</v>
      </c>
      <c r="K26" s="26">
        <f t="shared" si="18"/>
        <v>19.807705410358487</v>
      </c>
      <c r="L26" s="26">
        <f t="shared" si="18"/>
        <v>22.18463005960151</v>
      </c>
      <c r="M26" s="27">
        <f t="shared" si="18"/>
        <v>24.846785666753696</v>
      </c>
      <c r="N26" s="57">
        <v>3</v>
      </c>
      <c r="P26" s="69">
        <f>+P24</f>
        <v>3.3600000000000003</v>
      </c>
      <c r="Q26" s="69">
        <f>+P26</f>
        <v>3.3600000000000003</v>
      </c>
      <c r="R26" s="69"/>
      <c r="S26" s="69"/>
      <c r="T26" s="69"/>
      <c r="U26" s="69"/>
      <c r="V26" s="69"/>
      <c r="W26" s="69"/>
      <c r="X26" s="69"/>
      <c r="Y26" s="69"/>
      <c r="Z26" s="69">
        <f t="shared" ref="X26:AF33" si="19">+Y26</f>
        <v>0</v>
      </c>
    </row>
    <row r="27" spans="1:59" x14ac:dyDescent="0.2">
      <c r="A27" s="83"/>
      <c r="B27" s="3" t="str">
        <f>" - Amortization of "&amp;B5</f>
        <v xml:space="preserve"> - Amortization of R&amp;D</v>
      </c>
      <c r="C27" s="26">
        <f>IF(AJ7=0,0,(C24/$AJ$7))</f>
        <v>8</v>
      </c>
      <c r="D27" s="26">
        <f>IF($AJ$7=0,0,IF($AJ$7=2,SUM($C26:D26),IF($AJ$7=3,SUM($C26:D26),IF($AJ$7=4,SUM($C26:D26),IF($AJ$7=5,SUM($C26:D26),IF($AJ$7=6,SUM($C26:D26),IF($AJ$7=7,SUM($C26:D26),IF($AJ$7=8,SUM($C$26:D26),IF($AJ$7=9,SUM($C26:D26),IF($AJ$7=10,SUM($C26:D26)))))))))))</f>
        <v>16.96</v>
      </c>
      <c r="E27" s="26">
        <f>IF($AJ$7=0,0,IF($AJ$7=2,SUM(D26:E26),IF($AJ$7=3,SUM($C26:E26),IF($AJ$7=4,SUM($C26:E26),IF($AJ$7=5,SUM($C26:E26),IF($AJ$7=6,SUM($C26:E26),IF($AJ$7=7,SUM($C26:E26),IF($AJ$7=8,SUM($C$26:E26),IF($AJ$7=9,SUM($C26:E26),IF($AJ$7=10,SUM($C26:E26)))))))))))</f>
        <v>26.995200000000004</v>
      </c>
      <c r="F27" s="26">
        <f>IF($AJ$7=0,0,IF($AJ$7=2,SUM(E26:F26),IF($AJ$7=3,SUM(D26:F26),IF($AJ$7=4,SUM($C26:F26),IF($AJ$7=5,SUM($C26:F26),IF($AJ$7=6,SUM($C26:F26),IF($AJ$7=7,SUM($C26:F26),IF($AJ$7=8,SUM($C$26:F26),IF($AJ$7=9,SUM($C26:F26),IF($AJ$7=10,SUM($C26:F26)))))))))))</f>
        <v>38.234624000000011</v>
      </c>
      <c r="G27" s="26">
        <f>IF($AJ$7=0,0,IF($AJ$7=2,SUM(F26:G26),IF($AJ$7=3,SUM(E26:G26),IF($AJ$7=4,SUM(D26:G26),IF($AJ$7=5,SUM($C26:G26),IF($AJ$7=6,SUM($C26:G26),IF($AJ$7=7,SUM($C26:G26),IF($AJ$7=8,SUM($C$26:G26),IF($AJ$7=9,SUM($C26:G26),IF($AJ$7=10,SUM($C26:G26)))))))))))</f>
        <v>50.822778880000016</v>
      </c>
      <c r="H27" s="26">
        <f>IF($AJ$7=0,0,IF($AJ$7=2,SUM(G26:H26),IF($AJ$7=3,SUM(F26:H26),IF($AJ$7=4,SUM(E26:H26),IF($AJ$7=5,SUM(D26:H26),IF($AJ$7=6,SUM($C26:H26),IF($AJ$7=7,SUM($C26:H26),IF($AJ$7=8,SUM($C$26:H26),IF($AJ$7=9,SUM($C26:H26),IF($AJ$7=10,SUM($C26:H26)))))))))))</f>
        <v>56.921512345600021</v>
      </c>
      <c r="I27" s="26">
        <f>IF($AJ$7=0,0,IF($AJ$7=2,SUM(H26:I26),IF($AJ$7=3,SUM(G26:I26),IF($AJ$7=4,SUM(F26:I26),IF($AJ$7=5,SUM(E26:I26),IF($AJ$7=6,SUM(D26:I26),IF($AJ$7=7,SUM($C26:I26),IF($AJ$7=8,SUM($C$26:I26),IF($AJ$7=9,SUM($C26:I26),IF($AJ$7=10,SUM($C26:I26)))))))))))</f>
        <v>63.752093827072024</v>
      </c>
      <c r="J27" s="26">
        <f>IF($AJ$7=0,0,IF($AJ$7=2,SUM(I26:J26),IF($AJ$7=3,SUM(H26:J26),IF($AJ$7=4,SUM(G26:J26),IF($AJ$7=5,SUM(F26:J26),IF($AJ$7=6,SUM(E26:J26),IF($AJ$7=7,SUM(D26:J26),IF($AJ$7=8,SUM($C$26:J26),IF($AJ$7=9,SUM($C26:J26),IF($AJ$7=10,SUM($C26:J26)))))))))))</f>
        <v>71.402345086320665</v>
      </c>
      <c r="K27" s="26">
        <f>IF($AJ$7=0,0,IF($AJ$7=2,SUM(J26:K26),IF($AJ$7=3,SUM(I26:K26),IF($AJ$7=4,SUM(H26:K26),IF($AJ$7=5,SUM(G26:K26),IF($AJ$7=6,SUM(F26:K26),IF($AJ$7=7,SUM(E26:K26),IF($AJ$7=8,SUM(D26:K26),IF($AJ$7=9,SUM($C26:K26),IF($AJ$7=10,SUM($C26:K26)))))))))))</f>
        <v>79.970626496679159</v>
      </c>
      <c r="L27" s="26">
        <f>IF($AJ$7=0,0,IF($AJ$7=2,SUM(K26:L26),IF($AJ$7=3,SUM(J26:L26),IF($AJ$7=4,SUM(I26:L26),IF($AJ$7=5,SUM(H26:L26),IF($AJ$7=6,SUM(G26:L26),IF($AJ$7=7,SUM(F26:L26),IF($AJ$7=8,SUM(E26:L26),IF($AJ$7=9,SUM(D26:L26),IF($AJ$7=10,SUM($C26:L26)))))))))))</f>
        <v>89.567101676280657</v>
      </c>
      <c r="M27" s="27">
        <f>IF($AJ$7=0,0,IF($AJ$7=2,SUM(L26:M26),IF($AJ$7=3,SUM(K26:M26),IF($AJ$7=4,SUM(J26:M26),IF($AJ$7=5,SUM(I26:M26),IF($AJ$7=6,SUM(H26:M26),IF($AJ$7=7,SUM(G26:M26),IF($AJ$7=8,SUM(F26:M26),IF($AJ$7=9,SUM(E26:M26),IF($AJ$7=10,SUM($C26:M26)))))))))))</f>
        <v>100.31515387743434</v>
      </c>
      <c r="N27" s="57">
        <v>4</v>
      </c>
      <c r="Q27" s="69">
        <f>+Q24</f>
        <v>3.7632000000000003</v>
      </c>
      <c r="R27" s="69">
        <f>+Q27</f>
        <v>3.7632000000000003</v>
      </c>
      <c r="S27" s="69"/>
      <c r="T27" s="69"/>
      <c r="U27" s="69"/>
      <c r="V27" s="69"/>
      <c r="W27" s="69"/>
      <c r="X27" s="69"/>
      <c r="Y27" s="69"/>
      <c r="Z27" s="69"/>
      <c r="AA27" s="69"/>
      <c r="AI27" s="86"/>
    </row>
    <row r="28" spans="1:59" hidden="1" x14ac:dyDescent="0.2">
      <c r="A28" s="83"/>
      <c r="B28" s="3"/>
      <c r="C28" s="26">
        <f t="shared" ref="C28:M28" si="20">C25/$AJ$10</f>
        <v>5</v>
      </c>
      <c r="D28" s="26">
        <f t="shared" si="20"/>
        <v>5.6000000000000005</v>
      </c>
      <c r="E28" s="26">
        <f t="shared" si="20"/>
        <v>6.2720000000000011</v>
      </c>
      <c r="F28" s="26">
        <f t="shared" si="20"/>
        <v>7.0246400000000015</v>
      </c>
      <c r="G28" s="26">
        <f t="shared" si="20"/>
        <v>7.8675968000000021</v>
      </c>
      <c r="H28" s="26">
        <f t="shared" si="20"/>
        <v>8.8117084160000037</v>
      </c>
      <c r="I28" s="26">
        <f t="shared" si="20"/>
        <v>9.8691134259200037</v>
      </c>
      <c r="J28" s="26">
        <f t="shared" si="20"/>
        <v>11.053407037030404</v>
      </c>
      <c r="K28" s="26">
        <f t="shared" si="20"/>
        <v>12.379815881474054</v>
      </c>
      <c r="L28" s="26">
        <f t="shared" si="20"/>
        <v>13.865393787250943</v>
      </c>
      <c r="M28" s="27">
        <f t="shared" si="20"/>
        <v>15.529241041721058</v>
      </c>
      <c r="N28" s="57">
        <v>5</v>
      </c>
      <c r="R28" s="69">
        <f>+R24</f>
        <v>4.2147840000000008</v>
      </c>
      <c r="S28" s="69">
        <f>+R28</f>
        <v>4.2147840000000008</v>
      </c>
      <c r="T28" s="69">
        <f t="shared" ref="T28:AA33" si="21">+S28</f>
        <v>4.2147840000000008</v>
      </c>
      <c r="U28" s="69">
        <f t="shared" si="21"/>
        <v>4.2147840000000008</v>
      </c>
      <c r="V28" s="69">
        <f t="shared" si="21"/>
        <v>4.2147840000000008</v>
      </c>
      <c r="W28" s="69">
        <f>+V28</f>
        <v>4.2147840000000008</v>
      </c>
      <c r="X28" s="69">
        <f t="shared" si="19"/>
        <v>4.2147840000000008</v>
      </c>
      <c r="Y28" s="69">
        <f t="shared" si="19"/>
        <v>4.2147840000000008</v>
      </c>
      <c r="Z28" s="69">
        <f t="shared" si="19"/>
        <v>4.2147840000000008</v>
      </c>
      <c r="AA28" s="69">
        <f t="shared" si="19"/>
        <v>4.2147840000000008</v>
      </c>
    </row>
    <row r="29" spans="1:59" x14ac:dyDescent="0.2">
      <c r="A29" s="83"/>
      <c r="B29" s="3" t="str">
        <f>" - Amortization of "&amp;B6</f>
        <v xml:space="preserve"> - Amortization of Sales &amp; Marketing</v>
      </c>
      <c r="C29" s="26">
        <f>IF(AJ10=0,0,(C25/$AJ$10))</f>
        <v>5</v>
      </c>
      <c r="D29" s="26">
        <f>IF($AJ$10=0,0,IF($AJ$10=2,SUM($C28:D28),IF($AJ$10=3,SUM($C28:D28),IF($AJ$10=4,SUM($C28:D28),IF($AJ$10=5,SUM($C28:D28),IF($AJ$10=6,SUM($C28:D28),IF($AJ$10=7,SUM($C28:D28),IF($AJ$10=8,SUM($C$26:D28),IF($AJ$10=9,SUM($C28:D28),IF($AJ$10=10,SUM($C28:D28)))))))))))</f>
        <v>10.600000000000001</v>
      </c>
      <c r="E29" s="26">
        <f>IF($AJ$10=0,0,IF($AJ$10=2,SUM(D28:E28),IF($AJ$10=3,SUM($C28:E28),IF($AJ$10=4,SUM($C28:E28),IF($AJ$10=5,SUM($C28:E28),IF($AJ$10=6,SUM($C28:E28),IF($AJ$10=7,SUM($C28:E28),IF($AJ$10=8,SUM($C$26:E28),IF($AJ$10=9,SUM($C28:E28),IF($AJ$10=10,SUM($C28:E28)))))))))))</f>
        <v>16.872000000000003</v>
      </c>
      <c r="F29" s="26">
        <f>IF($AJ$10=0,0,IF($AJ$10=2,SUM(E28:F28),IF($AJ$10=3,SUM(D28:F28),IF($AJ$10=4,SUM($C28:F28),IF($AJ$10=5,SUM($C28:F28),IF($AJ$10=6,SUM($C28:F28),IF($AJ$10=7,SUM($C28:F28),IF($AJ$10=8,SUM($C$26:F28),IF($AJ$10=9,SUM($C28:F28),IF($AJ$10=10,SUM($C28:F28)))))))))))</f>
        <v>18.896640000000005</v>
      </c>
      <c r="G29" s="26">
        <f>IF($AJ$10=0,0,IF($AJ$10=2,SUM(F28:G28),IF($AJ$10=3,SUM(E28:G28),IF($AJ$10=4,SUM(D28:G28),IF($AJ$10=5,SUM($C28:G28),IF($AJ$10=6,SUM($C28:G28),IF($AJ$10=7,SUM($C28:G28),IF($AJ$10=8,SUM($C$26:G28),IF($AJ$10=9,SUM($C28:G28),IF($AJ$10=10,SUM($C28:G28)))))))))))</f>
        <v>21.164236800000005</v>
      </c>
      <c r="H29" s="26">
        <f>IF($AJ$10=0,0,IF($AJ$10=2,SUM(G28:H28),IF($AJ$10=3,SUM(F28:H28),IF($AJ$10=4,SUM(E28:H28),IF($AJ$10=5,SUM(D28:H28),IF($AJ$10=6,SUM($C28:H28),IF($AJ$10=7,SUM($C28:H28),IF($AJ$10=8,SUM($C$26:H28),IF($AJ$10=9,SUM($C28:H28),IF($AJ$10=10,SUM($C28:H28)))))))))))</f>
        <v>23.703945216000008</v>
      </c>
      <c r="I29" s="26">
        <f>IF($AJ$10=0,0,IF($AJ$10=2,SUM(H28:I28),IF($AJ$10=3,SUM(G28:I28),IF($AJ$10=4,SUM(F28:I28),IF($AJ$10=5,SUM(E28:I28),IF($AJ$10=6,SUM(D28:I28),IF($AJ$10=7,SUM($C28:I28),IF($AJ$10=8,SUM($C$26:I28),IF($AJ$10=9,SUM($C28:I28),IF($AJ$10=10,SUM($C28:I28)))))))))))</f>
        <v>26.548418641920009</v>
      </c>
      <c r="J29" s="26">
        <f>IF($AJ$10=0,0,IF($AJ$10=2,SUM(I28:J28),IF($AJ$10=3,SUM(H28:J28),IF($AJ$10=4,SUM(G28:J28),IF($AJ$10=5,SUM(F28:J28),IF($AJ$10=6,SUM(E28:J28),IF($AJ$10=7,SUM(D28:J28),IF($AJ$10=8,SUM($C$26:J28),IF($AJ$10=9,SUM($C28:J28),IF($AJ$10=10,SUM($C28:J28)))))))))))</f>
        <v>29.734228878950411</v>
      </c>
      <c r="K29" s="26">
        <f>IF($AJ$10=0,0,IF($AJ$10=2,SUM(J28:K28),IF($AJ$10=3,SUM(I28:K28),IF($AJ$10=4,SUM(H28:K28),IF($AJ$10=5,SUM(G28:K28),IF($AJ$10=6,SUM(F28:K28),IF($AJ$10=7,SUM(E28:K28),IF($AJ$10=8,SUM(D28:K28),IF($AJ$10=9,SUM($C28:K28),IF($AJ$10=10,SUM($C28:K28)))))))))))</f>
        <v>33.302336344424461</v>
      </c>
      <c r="L29" s="26">
        <f>IF($AJ$10=0,0,IF($AJ$10=2,SUM(K28:L28),IF($AJ$10=3,SUM(J28:L28),IF($AJ$10=4,SUM(I28:L28),IF($AJ$10=5,SUM(H28:L28),IF($AJ$10=6,SUM(G28:L28),IF($AJ$10=7,SUM(F28:L28),IF($AJ$10=8,SUM(E28:L28),IF($AJ$10=9,SUM(D28:L28),IF($AJ$10=10,SUM($C28:L28)))))))))))</f>
        <v>37.2986167057554</v>
      </c>
      <c r="M29" s="27">
        <f>IF($AJ$10=0,0,IF($AJ$10=2,SUM(L28:M28),IF($AJ$10=3,SUM(K28:M28),IF($AJ$10=4,SUM(J28:M28),IF($AJ$10=5,SUM(I28:M28),IF($AJ$10=6,SUM(H28:M28),IF($AJ$10=7,SUM(G28:M28),IF($AJ$10=8,SUM(F28:M28),IF($AJ$10=9,SUM(E28:M28),IF($AJ$10=10,SUM($C28:M28)))))))))))</f>
        <v>41.774450710446054</v>
      </c>
      <c r="S29" s="69">
        <f>+S24</f>
        <v>4.7205580800000018</v>
      </c>
      <c r="T29" s="69">
        <f>+S29</f>
        <v>4.7205580800000018</v>
      </c>
      <c r="U29" s="69">
        <f t="shared" si="21"/>
        <v>4.7205580800000018</v>
      </c>
      <c r="V29" s="69">
        <f t="shared" si="21"/>
        <v>4.7205580800000018</v>
      </c>
      <c r="W29" s="69">
        <f t="shared" si="21"/>
        <v>4.7205580800000018</v>
      </c>
      <c r="X29" s="69">
        <f>+W29</f>
        <v>4.7205580800000018</v>
      </c>
      <c r="Y29" s="69">
        <f t="shared" si="19"/>
        <v>4.7205580800000018</v>
      </c>
      <c r="Z29" s="69">
        <f t="shared" si="19"/>
        <v>4.7205580800000018</v>
      </c>
      <c r="AA29" s="69">
        <f t="shared" si="19"/>
        <v>4.7205580800000018</v>
      </c>
      <c r="AB29" s="69">
        <f t="shared" si="19"/>
        <v>4.7205580800000018</v>
      </c>
      <c r="AI29" s="86"/>
    </row>
    <row r="30" spans="1:59" x14ac:dyDescent="0.2">
      <c r="A30" s="83"/>
      <c r="B30" s="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T30" s="69">
        <f>+T24</f>
        <v>5.2870250496000022</v>
      </c>
      <c r="U30" s="69">
        <f>+T30</f>
        <v>5.2870250496000022</v>
      </c>
      <c r="V30" s="69">
        <f t="shared" si="21"/>
        <v>5.2870250496000022</v>
      </c>
      <c r="W30" s="69">
        <f t="shared" si="21"/>
        <v>5.2870250496000022</v>
      </c>
      <c r="X30" s="69">
        <f t="shared" si="21"/>
        <v>5.2870250496000022</v>
      </c>
      <c r="Y30" s="69">
        <f>+X30</f>
        <v>5.2870250496000022</v>
      </c>
      <c r="Z30" s="69">
        <f t="shared" si="19"/>
        <v>5.2870250496000022</v>
      </c>
      <c r="AA30" s="69">
        <f t="shared" si="19"/>
        <v>5.2870250496000022</v>
      </c>
      <c r="AB30" s="69">
        <f t="shared" si="19"/>
        <v>5.2870250496000022</v>
      </c>
      <c r="AC30" s="69">
        <f t="shared" si="19"/>
        <v>5.2870250496000022</v>
      </c>
      <c r="AI30" s="86"/>
    </row>
    <row r="31" spans="1:59" x14ac:dyDescent="0.2">
      <c r="A31" s="83"/>
      <c r="B31" s="3" t="str">
        <f>"Capitalized "&amp;B5&amp;" Asset"</f>
        <v>Capitalized R&amp;D Asset</v>
      </c>
      <c r="C31" s="26">
        <f>IF(AJ7=0,0,(C24-C27))</f>
        <v>32</v>
      </c>
      <c r="D31" s="26">
        <f>IF(AJ7=0,0,(C31+D24-D27))</f>
        <v>59.840000000000011</v>
      </c>
      <c r="E31" s="26">
        <f>IF(AJ7=0,0,(D31+E24-E27))</f>
        <v>83.020800000000008</v>
      </c>
      <c r="F31" s="26">
        <f>IF(AJ7=0,0,(E31+F24-F27))</f>
        <v>100.98329600000001</v>
      </c>
      <c r="G31" s="26">
        <f>IF(AJ7=0,0,(F31+G24-G27))</f>
        <v>113.10129152000002</v>
      </c>
      <c r="H31" s="26">
        <f>IF(AJ7=0,0,(G31+H24-H27))</f>
        <v>126.67344650240001</v>
      </c>
      <c r="I31" s="26">
        <f>IF(AJ7=0,0,(H31+I24-I27))</f>
        <v>141.87426008268801</v>
      </c>
      <c r="J31" s="26">
        <f>IF(AJ7=0,0,(I31+J24-J27))</f>
        <v>158.89917129261056</v>
      </c>
      <c r="K31" s="26">
        <f>IF(AJ7=0,0,(J31+K24-K27))</f>
        <v>177.96707184772382</v>
      </c>
      <c r="L31" s="26">
        <f>IF(AJ7=0,0,(K31+L24-L27))</f>
        <v>199.32312046945074</v>
      </c>
      <c r="M31" s="27">
        <f>IF(AJ7=0,0,(L31+M24-M27))</f>
        <v>223.24189492578489</v>
      </c>
      <c r="U31" s="69">
        <f>+U24</f>
        <v>5.9214680555520021</v>
      </c>
      <c r="V31" s="69">
        <f>+U31</f>
        <v>5.9214680555520021</v>
      </c>
      <c r="W31" s="69">
        <f t="shared" si="21"/>
        <v>5.9214680555520021</v>
      </c>
      <c r="X31" s="69">
        <f t="shared" si="21"/>
        <v>5.9214680555520021</v>
      </c>
      <c r="Y31" s="69">
        <f t="shared" si="21"/>
        <v>5.9214680555520021</v>
      </c>
      <c r="Z31" s="69">
        <f>+Y31</f>
        <v>5.9214680555520021</v>
      </c>
      <c r="AA31" s="69">
        <f t="shared" si="19"/>
        <v>5.9214680555520021</v>
      </c>
      <c r="AB31" s="69">
        <f t="shared" si="19"/>
        <v>5.9214680555520021</v>
      </c>
      <c r="AC31" s="69">
        <f t="shared" si="19"/>
        <v>5.9214680555520021</v>
      </c>
      <c r="AD31" s="69">
        <f t="shared" si="19"/>
        <v>5.9214680555520021</v>
      </c>
      <c r="AU31" s="13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9" x14ac:dyDescent="0.2">
      <c r="A32" s="83"/>
      <c r="B32" s="3" t="str">
        <f>"Capitalized "&amp;B6&amp;" Asset"</f>
        <v>Capitalized Sales &amp; Marketing Asset</v>
      </c>
      <c r="C32" s="26">
        <f>IF($AJ$10=0,0,(C25-C29))</f>
        <v>10</v>
      </c>
      <c r="D32" s="26">
        <f>IF($AJ$10=0,0,(C32+D25-D29))</f>
        <v>16.2</v>
      </c>
      <c r="E32" s="26">
        <f t="shared" ref="E32:M32" si="22">IF($AJ$10=0,0,(D32+E25-E29))</f>
        <v>18.144000000000002</v>
      </c>
      <c r="F32" s="26">
        <f t="shared" si="22"/>
        <v>20.321280000000002</v>
      </c>
      <c r="G32" s="26">
        <f t="shared" si="22"/>
        <v>22.7598336</v>
      </c>
      <c r="H32" s="26">
        <f t="shared" si="22"/>
        <v>25.491013632000005</v>
      </c>
      <c r="I32" s="26">
        <f t="shared" si="22"/>
        <v>28.549935267840006</v>
      </c>
      <c r="J32" s="26">
        <f t="shared" si="22"/>
        <v>31.975927499980806</v>
      </c>
      <c r="K32" s="26">
        <f t="shared" si="22"/>
        <v>35.813038799978514</v>
      </c>
      <c r="L32" s="26">
        <f t="shared" si="22"/>
        <v>40.110603455975941</v>
      </c>
      <c r="M32" s="27">
        <f t="shared" si="22"/>
        <v>44.92387587069306</v>
      </c>
      <c r="V32" s="69">
        <f>+V24</f>
        <v>6.6320442222182425</v>
      </c>
      <c r="W32" s="69">
        <f>+V32</f>
        <v>6.6320442222182425</v>
      </c>
      <c r="X32" s="69">
        <f t="shared" si="21"/>
        <v>6.6320442222182425</v>
      </c>
      <c r="Y32" s="69">
        <f t="shared" si="21"/>
        <v>6.6320442222182425</v>
      </c>
      <c r="Z32" s="69">
        <f t="shared" si="21"/>
        <v>6.6320442222182425</v>
      </c>
      <c r="AA32" s="69">
        <f>+Z32</f>
        <v>6.6320442222182425</v>
      </c>
      <c r="AB32" s="69">
        <f t="shared" si="19"/>
        <v>6.6320442222182425</v>
      </c>
      <c r="AC32" s="69">
        <f t="shared" si="19"/>
        <v>6.6320442222182425</v>
      </c>
      <c r="AD32" s="69">
        <f t="shared" si="19"/>
        <v>6.6320442222182425</v>
      </c>
      <c r="AE32" s="69">
        <f t="shared" si="19"/>
        <v>6.6320442222182425</v>
      </c>
      <c r="AU32" s="16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x14ac:dyDescent="0.2">
      <c r="A33" s="84"/>
      <c r="B33" s="3" t="s">
        <v>9</v>
      </c>
      <c r="C33" s="26">
        <f>SUM(C31:C32)</f>
        <v>42</v>
      </c>
      <c r="D33" s="26">
        <f t="shared" ref="D33:M33" si="23">SUM(D31:D32)</f>
        <v>76.040000000000006</v>
      </c>
      <c r="E33" s="26">
        <f t="shared" si="23"/>
        <v>101.16480000000001</v>
      </c>
      <c r="F33" s="26">
        <f t="shared" si="23"/>
        <v>121.30457600000001</v>
      </c>
      <c r="G33" s="26">
        <f t="shared" si="23"/>
        <v>135.86112512000003</v>
      </c>
      <c r="H33" s="26">
        <f t="shared" si="23"/>
        <v>152.16446013440003</v>
      </c>
      <c r="I33" s="26">
        <f t="shared" si="23"/>
        <v>170.42419535052801</v>
      </c>
      <c r="J33" s="26">
        <f t="shared" si="23"/>
        <v>190.87509879259136</v>
      </c>
      <c r="K33" s="26">
        <f t="shared" si="23"/>
        <v>213.78011064770232</v>
      </c>
      <c r="L33" s="26">
        <f t="shared" si="23"/>
        <v>239.43372392542668</v>
      </c>
      <c r="M33" s="27">
        <f t="shared" si="23"/>
        <v>268.16577079647794</v>
      </c>
      <c r="W33" s="69">
        <f>+W$24</f>
        <v>7.4278895288844327</v>
      </c>
      <c r="X33" s="69">
        <f>+W33</f>
        <v>7.4278895288844327</v>
      </c>
      <c r="Y33" s="69">
        <f t="shared" si="21"/>
        <v>7.4278895288844327</v>
      </c>
      <c r="Z33" s="69">
        <f t="shared" si="21"/>
        <v>7.4278895288844327</v>
      </c>
      <c r="AA33" s="69">
        <f t="shared" si="21"/>
        <v>7.4278895288844327</v>
      </c>
      <c r="AB33" s="69">
        <f>+AA33</f>
        <v>7.4278895288844327</v>
      </c>
      <c r="AC33" s="69">
        <f t="shared" si="19"/>
        <v>7.4278895288844327</v>
      </c>
      <c r="AD33" s="69">
        <f t="shared" si="19"/>
        <v>7.4278895288844327</v>
      </c>
      <c r="AE33" s="69">
        <f t="shared" si="19"/>
        <v>7.4278895288844327</v>
      </c>
      <c r="AF33" s="69">
        <f t="shared" si="19"/>
        <v>7.4278895288844327</v>
      </c>
      <c r="AU33" s="18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1:58" x14ac:dyDescent="0.2">
      <c r="A34" s="84"/>
      <c r="B34" s="3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33"/>
      <c r="AU34" s="18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1:58" x14ac:dyDescent="0.2">
      <c r="A35" s="82"/>
      <c r="B35" s="52" t="s">
        <v>31</v>
      </c>
      <c r="C35" s="43">
        <f>IF(AND($AJ$7=0,$AJ$10=0),C23,IF($AJ$7=0,C23+C25-C27-C29,IF($AJ$10=0,C23+C24-C27-C29,C23+C24+C25-C27-C29)))</f>
        <v>67</v>
      </c>
      <c r="D35" s="43">
        <f t="shared" ref="D35:AH35" si="24">IF(AND($AJ$7=0,$AJ$10=0),D23,IF($AJ$7=0,D23+D25-D27-D29,IF($AJ$10=0,D23+D24-D27-D29,D23+D24+D25-D27-D29)))</f>
        <v>62.040000000000013</v>
      </c>
      <c r="E35" s="43">
        <f t="shared" si="24"/>
        <v>56.484800000000021</v>
      </c>
      <c r="F35" s="43">
        <f t="shared" si="24"/>
        <v>55.262976000000023</v>
      </c>
      <c r="G35" s="43">
        <f t="shared" si="24"/>
        <v>53.894533120000013</v>
      </c>
      <c r="H35" s="43">
        <f t="shared" si="24"/>
        <v>60.3618770944</v>
      </c>
      <c r="I35" s="43">
        <f t="shared" si="24"/>
        <v>67.60530234572802</v>
      </c>
      <c r="J35" s="43">
        <f t="shared" si="24"/>
        <v>75.717938627215403</v>
      </c>
      <c r="K35" s="43">
        <f t="shared" si="24"/>
        <v>84.804091262481265</v>
      </c>
      <c r="L35" s="43">
        <f t="shared" si="24"/>
        <v>94.980582213979034</v>
      </c>
      <c r="M35" s="43">
        <f t="shared" si="24"/>
        <v>106.37825207965653</v>
      </c>
      <c r="N35" s="43">
        <f t="shared" si="24"/>
        <v>-1</v>
      </c>
      <c r="O35" s="43">
        <f t="shared" si="24"/>
        <v>7</v>
      </c>
      <c r="P35" s="43">
        <f t="shared" si="24"/>
        <v>8.36</v>
      </c>
      <c r="Q35" s="43">
        <f t="shared" si="24"/>
        <v>3</v>
      </c>
      <c r="R35" s="43">
        <f t="shared" si="24"/>
        <v>4.4515840000000013</v>
      </c>
      <c r="S35" s="43">
        <f t="shared" si="24"/>
        <v>5</v>
      </c>
      <c r="T35" s="43">
        <f t="shared" si="24"/>
        <v>6.5664669696000004</v>
      </c>
      <c r="U35" s="43">
        <f t="shared" si="24"/>
        <v>8.2009099755519994</v>
      </c>
      <c r="V35" s="43">
        <f t="shared" si="24"/>
        <v>9.9114861422182408</v>
      </c>
      <c r="W35" s="43">
        <f t="shared" si="24"/>
        <v>11.70733144888443</v>
      </c>
      <c r="X35" s="43">
        <f t="shared" si="24"/>
        <v>13.598678192350564</v>
      </c>
      <c r="Y35" s="43">
        <f t="shared" si="24"/>
        <v>15.596986545032633</v>
      </c>
      <c r="Z35" s="43">
        <f t="shared" si="24"/>
        <v>-4.7205580800000018</v>
      </c>
      <c r="AA35" s="43">
        <f t="shared" si="24"/>
        <v>-4.7205580800000018</v>
      </c>
      <c r="AB35" s="43">
        <f t="shared" si="24"/>
        <v>-4.7205580800000018</v>
      </c>
      <c r="AC35" s="43">
        <f t="shared" si="24"/>
        <v>0</v>
      </c>
      <c r="AD35" s="43">
        <f t="shared" si="24"/>
        <v>0</v>
      </c>
      <c r="AE35" s="43">
        <f t="shared" si="24"/>
        <v>0</v>
      </c>
      <c r="AF35" s="43">
        <f t="shared" si="24"/>
        <v>0</v>
      </c>
      <c r="AG35" s="43">
        <f t="shared" si="24"/>
        <v>0</v>
      </c>
      <c r="AH35" s="43">
        <f t="shared" si="24"/>
        <v>0</v>
      </c>
      <c r="AU35" s="19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1:58" x14ac:dyDescent="0.2">
      <c r="A36" s="82">
        <v>0.33</v>
      </c>
      <c r="B36" s="3" t="s">
        <v>6</v>
      </c>
      <c r="C36" s="26">
        <f t="shared" ref="C36:M36" si="25">C$7*$A36</f>
        <v>8.25</v>
      </c>
      <c r="D36" s="26">
        <f t="shared" si="25"/>
        <v>9.24</v>
      </c>
      <c r="E36" s="26">
        <f t="shared" si="25"/>
        <v>10.348800000000001</v>
      </c>
      <c r="F36" s="26">
        <f t="shared" si="25"/>
        <v>11.590656000000005</v>
      </c>
      <c r="G36" s="26">
        <f t="shared" si="25"/>
        <v>12.981534720000003</v>
      </c>
      <c r="H36" s="26">
        <f t="shared" si="25"/>
        <v>14.539318886399998</v>
      </c>
      <c r="I36" s="26">
        <f t="shared" si="25"/>
        <v>16.284037152768001</v>
      </c>
      <c r="J36" s="26">
        <f t="shared" si="25"/>
        <v>18.238121611100169</v>
      </c>
      <c r="K36" s="26">
        <f t="shared" si="25"/>
        <v>20.426696204432197</v>
      </c>
      <c r="L36" s="26">
        <f t="shared" si="25"/>
        <v>22.877899748964051</v>
      </c>
      <c r="M36" s="27">
        <f t="shared" si="25"/>
        <v>25.62324771883975</v>
      </c>
      <c r="AU36" s="62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</row>
    <row r="37" spans="1:58" x14ac:dyDescent="0.2">
      <c r="A37" s="75"/>
      <c r="B37" s="52" t="s">
        <v>7</v>
      </c>
      <c r="C37" s="43">
        <f>C35-C36</f>
        <v>58.75</v>
      </c>
      <c r="D37" s="43">
        <f t="shared" ref="D37:M37" si="26">D35-D36</f>
        <v>52.800000000000011</v>
      </c>
      <c r="E37" s="43">
        <f t="shared" si="26"/>
        <v>46.136000000000024</v>
      </c>
      <c r="F37" s="43">
        <f t="shared" si="26"/>
        <v>43.67232000000002</v>
      </c>
      <c r="G37" s="43">
        <f t="shared" si="26"/>
        <v>40.912998400000006</v>
      </c>
      <c r="H37" s="43">
        <f t="shared" si="26"/>
        <v>45.822558208000004</v>
      </c>
      <c r="I37" s="43">
        <f t="shared" si="26"/>
        <v>51.32126519296002</v>
      </c>
      <c r="J37" s="43">
        <f t="shared" si="26"/>
        <v>57.479817016115234</v>
      </c>
      <c r="K37" s="43">
        <f t="shared" si="26"/>
        <v>64.377395058049075</v>
      </c>
      <c r="L37" s="43">
        <f t="shared" si="26"/>
        <v>72.102682465014979</v>
      </c>
      <c r="M37" s="44">
        <f t="shared" si="26"/>
        <v>80.755004360816784</v>
      </c>
      <c r="AU37" s="18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x14ac:dyDescent="0.2">
      <c r="A38" s="75"/>
      <c r="B38" s="3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33"/>
      <c r="AU38" s="18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1:58" x14ac:dyDescent="0.2">
      <c r="A39" s="75"/>
      <c r="B39" s="3" t="s">
        <v>10</v>
      </c>
      <c r="C39" s="26">
        <f t="shared" ref="C39:M39" si="27">C15</f>
        <v>237</v>
      </c>
      <c r="D39" s="26">
        <f t="shared" si="27"/>
        <v>258.33000000000004</v>
      </c>
      <c r="E39" s="26">
        <f t="shared" si="27"/>
        <v>281.57970000000006</v>
      </c>
      <c r="F39" s="26">
        <f t="shared" si="27"/>
        <v>306.92187300000006</v>
      </c>
      <c r="G39" s="26">
        <f t="shared" si="27"/>
        <v>334.54484157000007</v>
      </c>
      <c r="H39" s="26">
        <f t="shared" si="27"/>
        <v>364.65387731130011</v>
      </c>
      <c r="I39" s="26">
        <f t="shared" si="27"/>
        <v>397.47272626931715</v>
      </c>
      <c r="J39" s="26">
        <f t="shared" si="27"/>
        <v>433.24527163355572</v>
      </c>
      <c r="K39" s="26">
        <f t="shared" si="27"/>
        <v>472.23734608057578</v>
      </c>
      <c r="L39" s="26">
        <f t="shared" si="27"/>
        <v>514.7387072278276</v>
      </c>
      <c r="M39" s="27">
        <f t="shared" si="27"/>
        <v>561.06519087833215</v>
      </c>
      <c r="AU39" s="18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1:58" x14ac:dyDescent="0.2">
      <c r="A40" s="75"/>
      <c r="B40" s="3" t="str">
        <f t="shared" ref="B40:M40" si="28">B33</f>
        <v>Total Capitalized Assets</v>
      </c>
      <c r="C40" s="26">
        <f t="shared" si="28"/>
        <v>42</v>
      </c>
      <c r="D40" s="26">
        <f t="shared" si="28"/>
        <v>76.040000000000006</v>
      </c>
      <c r="E40" s="26">
        <f t="shared" si="28"/>
        <v>101.16480000000001</v>
      </c>
      <c r="F40" s="26">
        <f t="shared" si="28"/>
        <v>121.30457600000001</v>
      </c>
      <c r="G40" s="26">
        <f t="shared" si="28"/>
        <v>135.86112512000003</v>
      </c>
      <c r="H40" s="26">
        <f t="shared" si="28"/>
        <v>152.16446013440003</v>
      </c>
      <c r="I40" s="26">
        <f t="shared" si="28"/>
        <v>170.42419535052801</v>
      </c>
      <c r="J40" s="26">
        <f t="shared" si="28"/>
        <v>190.87509879259136</v>
      </c>
      <c r="K40" s="26">
        <f t="shared" si="28"/>
        <v>213.78011064770232</v>
      </c>
      <c r="L40" s="26">
        <f t="shared" si="28"/>
        <v>239.43372392542668</v>
      </c>
      <c r="M40" s="27">
        <f t="shared" si="28"/>
        <v>268.16577079647794</v>
      </c>
      <c r="O40" s="69">
        <f t="shared" ref="O40:Y40" si="29">SUM(O25:O38)</f>
        <v>10</v>
      </c>
      <c r="P40" s="69">
        <f t="shared" si="29"/>
        <v>14.719999999999999</v>
      </c>
      <c r="Q40" s="69">
        <f t="shared" si="29"/>
        <v>10.123200000000001</v>
      </c>
      <c r="R40" s="69">
        <f t="shared" si="29"/>
        <v>12.429568000000003</v>
      </c>
      <c r="S40" s="69">
        <f t="shared" si="29"/>
        <v>13.935342080000002</v>
      </c>
      <c r="T40" s="69">
        <f t="shared" si="29"/>
        <v>20.788834099200002</v>
      </c>
      <c r="U40" s="69">
        <f t="shared" si="29"/>
        <v>28.344745160704008</v>
      </c>
      <c r="V40" s="69">
        <f t="shared" si="29"/>
        <v>36.687365549588492</v>
      </c>
      <c r="W40" s="69">
        <f t="shared" si="29"/>
        <v>45.911100385139115</v>
      </c>
      <c r="X40" s="69">
        <f t="shared" si="29"/>
        <v>47.802447128605245</v>
      </c>
      <c r="Y40" s="69">
        <f t="shared" si="29"/>
        <v>49.800755481287318</v>
      </c>
      <c r="AU40" s="19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1:58" x14ac:dyDescent="0.2">
      <c r="A41" s="75"/>
      <c r="B41" s="52" t="str">
        <f>"Invested Capital Plus "&amp;B40</f>
        <v>Invested Capital Plus Total Capitalized Assets</v>
      </c>
      <c r="C41" s="43">
        <f>C40+C39</f>
        <v>279</v>
      </c>
      <c r="D41" s="43">
        <f t="shared" ref="D41:M41" si="30">D40+D39</f>
        <v>334.37000000000006</v>
      </c>
      <c r="E41" s="43">
        <f t="shared" si="30"/>
        <v>382.74450000000007</v>
      </c>
      <c r="F41" s="43">
        <f t="shared" si="30"/>
        <v>428.22644900000006</v>
      </c>
      <c r="G41" s="43">
        <f t="shared" si="30"/>
        <v>470.40596669000013</v>
      </c>
      <c r="H41" s="43">
        <f t="shared" si="30"/>
        <v>516.81833744570008</v>
      </c>
      <c r="I41" s="43">
        <f t="shared" si="30"/>
        <v>567.89692161984522</v>
      </c>
      <c r="J41" s="43">
        <f t="shared" si="30"/>
        <v>624.12037042614702</v>
      </c>
      <c r="K41" s="43">
        <f t="shared" si="30"/>
        <v>686.01745672827815</v>
      </c>
      <c r="L41" s="43">
        <f t="shared" si="30"/>
        <v>754.17243115325425</v>
      </c>
      <c r="M41" s="44">
        <f t="shared" si="30"/>
        <v>829.23096167481003</v>
      </c>
      <c r="O41" s="69">
        <f t="shared" ref="O41:Y41" si="31">+O40-C29</f>
        <v>5</v>
      </c>
      <c r="P41" s="69">
        <f t="shared" si="31"/>
        <v>4.1199999999999974</v>
      </c>
      <c r="Q41" s="69">
        <f t="shared" si="31"/>
        <v>-6.7488000000000028</v>
      </c>
      <c r="R41" s="69">
        <f t="shared" si="31"/>
        <v>-6.4670720000000017</v>
      </c>
      <c r="S41" s="69">
        <f t="shared" si="31"/>
        <v>-7.2288947200000031</v>
      </c>
      <c r="T41" s="69">
        <f t="shared" si="31"/>
        <v>-2.9151111168000057</v>
      </c>
      <c r="U41" s="69">
        <f t="shared" si="31"/>
        <v>1.7963265187839994</v>
      </c>
      <c r="V41" s="69">
        <f t="shared" si="31"/>
        <v>6.9531366706380808</v>
      </c>
      <c r="W41" s="69">
        <f t="shared" si="31"/>
        <v>12.608764040714654</v>
      </c>
      <c r="X41" s="69">
        <f t="shared" si="31"/>
        <v>10.503830422849845</v>
      </c>
      <c r="Y41" s="69">
        <f t="shared" si="31"/>
        <v>8.0263047708412643</v>
      </c>
      <c r="AU41" s="18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1:58" x14ac:dyDescent="0.2">
      <c r="A42" s="75"/>
      <c r="B42" s="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  <c r="AU42" s="18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1:58" x14ac:dyDescent="0.2">
      <c r="A43" s="75"/>
      <c r="B43" s="52" t="s">
        <v>30</v>
      </c>
      <c r="C43" s="53">
        <f>C37/C41</f>
        <v>0.21057347670250895</v>
      </c>
      <c r="D43" s="53">
        <f t="shared" ref="D43:M43" si="32">D37/D41</f>
        <v>0.15790890331070373</v>
      </c>
      <c r="E43" s="53">
        <f t="shared" si="32"/>
        <v>0.12053994244202076</v>
      </c>
      <c r="F43" s="53">
        <f t="shared" si="32"/>
        <v>0.1019841723975345</v>
      </c>
      <c r="G43" s="53">
        <f t="shared" si="32"/>
        <v>8.6973808363621105E-2</v>
      </c>
      <c r="H43" s="53">
        <f t="shared" si="32"/>
        <v>8.8662794811947609E-2</v>
      </c>
      <c r="I43" s="53">
        <f t="shared" si="32"/>
        <v>9.0370740250842366E-2</v>
      </c>
      <c r="J43" s="53">
        <f t="shared" si="32"/>
        <v>9.2097325675924074E-2</v>
      </c>
      <c r="K43" s="53">
        <f t="shared" si="32"/>
        <v>9.3842211195433262E-2</v>
      </c>
      <c r="L43" s="53">
        <f t="shared" si="32"/>
        <v>9.5605036045613684E-2</v>
      </c>
      <c r="M43" s="54">
        <f t="shared" si="32"/>
        <v>9.7385418650691363E-2</v>
      </c>
      <c r="AU43" s="19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x14ac:dyDescent="0.2">
      <c r="A44" s="75"/>
      <c r="B44" s="3" t="s">
        <v>14</v>
      </c>
      <c r="C44" s="4">
        <f t="shared" ref="C44:M44" si="33">(C43-$AJ$13)*C41</f>
        <v>39.219999999999992</v>
      </c>
      <c r="D44" s="4">
        <f t="shared" si="33"/>
        <v>29.394100000000009</v>
      </c>
      <c r="E44" s="4">
        <f t="shared" si="33"/>
        <v>19.343885000000018</v>
      </c>
      <c r="F44" s="4">
        <f t="shared" si="33"/>
        <v>13.696468570000016</v>
      </c>
      <c r="G44" s="4">
        <f t="shared" si="33"/>
        <v>7.9845807316999924</v>
      </c>
      <c r="H44" s="4">
        <f t="shared" si="33"/>
        <v>9.6452745868009977</v>
      </c>
      <c r="I44" s="4">
        <f t="shared" si="33"/>
        <v>11.568480679570849</v>
      </c>
      <c r="J44" s="4">
        <f t="shared" si="33"/>
        <v>13.791391086284939</v>
      </c>
      <c r="K44" s="4">
        <f t="shared" si="33"/>
        <v>16.356173087069603</v>
      </c>
      <c r="L44" s="4">
        <f t="shared" si="33"/>
        <v>19.310612284287174</v>
      </c>
      <c r="M44" s="5">
        <f t="shared" si="33"/>
        <v>22.708837043580072</v>
      </c>
      <c r="AU44" s="19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</row>
    <row r="45" spans="1:58" x14ac:dyDescent="0.2">
      <c r="A45" s="75"/>
      <c r="B45" s="3" t="s">
        <v>15</v>
      </c>
      <c r="C45" s="37">
        <f t="shared" ref="C45:M45" si="34">C37/C3</f>
        <v>0.58750000000000002</v>
      </c>
      <c r="D45" s="37">
        <f t="shared" si="34"/>
        <v>0.47142857142857147</v>
      </c>
      <c r="E45" s="37">
        <f t="shared" si="34"/>
        <v>0.3677933673469389</v>
      </c>
      <c r="F45" s="37">
        <f t="shared" si="34"/>
        <v>0.31085094752186593</v>
      </c>
      <c r="G45" s="37">
        <f t="shared" si="34"/>
        <v>0.26000950124947936</v>
      </c>
      <c r="H45" s="37">
        <f t="shared" si="34"/>
        <v>0.2600095012494793</v>
      </c>
      <c r="I45" s="37">
        <f t="shared" si="34"/>
        <v>0.26000950124947936</v>
      </c>
      <c r="J45" s="37">
        <f t="shared" si="34"/>
        <v>0.26000950124947941</v>
      </c>
      <c r="K45" s="37">
        <f t="shared" si="34"/>
        <v>0.26000950124947947</v>
      </c>
      <c r="L45" s="37">
        <f t="shared" si="34"/>
        <v>0.26000950124947947</v>
      </c>
      <c r="M45" s="38">
        <f t="shared" si="34"/>
        <v>0.26000950124947947</v>
      </c>
      <c r="AU45" s="18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</row>
    <row r="46" spans="1:58" x14ac:dyDescent="0.2">
      <c r="A46" s="75"/>
      <c r="B46" s="3" t="s">
        <v>16</v>
      </c>
      <c r="C46" s="39">
        <f t="shared" ref="C46:M46" si="35">C3/C41</f>
        <v>0.35842293906810035</v>
      </c>
      <c r="D46" s="39">
        <f t="shared" si="35"/>
        <v>0.33495827974997755</v>
      </c>
      <c r="E46" s="39">
        <f t="shared" si="35"/>
        <v>0.32773821700899686</v>
      </c>
      <c r="F46" s="39">
        <f t="shared" si="35"/>
        <v>0.3280806225960135</v>
      </c>
      <c r="G46" s="39">
        <f t="shared" si="35"/>
        <v>0.33450242374092964</v>
      </c>
      <c r="H46" s="39">
        <f t="shared" si="35"/>
        <v>0.34099828808515575</v>
      </c>
      <c r="I46" s="39">
        <f t="shared" si="35"/>
        <v>0.34756706895926681</v>
      </c>
      <c r="J46" s="39">
        <f t="shared" si="35"/>
        <v>0.35420753946816957</v>
      </c>
      <c r="K46" s="39">
        <f t="shared" si="35"/>
        <v>0.36091839238363654</v>
      </c>
      <c r="L46" s="39">
        <f t="shared" si="35"/>
        <v>0.36769824020346287</v>
      </c>
      <c r="M46" s="40">
        <f t="shared" si="35"/>
        <v>0.37454561538214687</v>
      </c>
      <c r="AU46" s="18"/>
      <c r="AV46" s="61"/>
      <c r="AW46" s="22"/>
      <c r="AX46" s="22"/>
      <c r="AY46" s="22"/>
      <c r="AZ46" s="22"/>
      <c r="BA46" s="22"/>
      <c r="BB46" s="15"/>
      <c r="BC46" s="15"/>
      <c r="BD46" s="15"/>
      <c r="BE46" s="15"/>
      <c r="BF46" s="15"/>
    </row>
    <row r="47" spans="1:58" x14ac:dyDescent="0.2">
      <c r="A47" s="66"/>
      <c r="B47" s="55" t="s">
        <v>29</v>
      </c>
      <c r="C47" s="47"/>
      <c r="D47" s="47">
        <f>D37-(D41-C41)</f>
        <v>-2.57000000000005</v>
      </c>
      <c r="E47" s="47">
        <f t="shared" ref="E47:M47" si="36">E37-(E41-D41)</f>
        <v>-2.2384999999999877</v>
      </c>
      <c r="F47" s="47">
        <f t="shared" si="36"/>
        <v>-1.8096289999999655</v>
      </c>
      <c r="G47" s="47">
        <f t="shared" si="36"/>
        <v>-1.2665192900000619</v>
      </c>
      <c r="H47" s="47">
        <f t="shared" si="36"/>
        <v>-0.58981254769994962</v>
      </c>
      <c r="I47" s="47">
        <f t="shared" si="36"/>
        <v>0.24268101881488491</v>
      </c>
      <c r="J47" s="47">
        <f t="shared" si="36"/>
        <v>1.2563682098134308</v>
      </c>
      <c r="K47" s="47">
        <f t="shared" si="36"/>
        <v>2.480308755917946</v>
      </c>
      <c r="L47" s="47">
        <f t="shared" si="36"/>
        <v>3.9477080400388758</v>
      </c>
      <c r="M47" s="48">
        <f t="shared" si="36"/>
        <v>5.696473839261003</v>
      </c>
      <c r="N47" s="67">
        <f t="shared" ref="N47:AH47" si="37">N40-(N42-M42)</f>
        <v>0</v>
      </c>
      <c r="O47" s="67">
        <f t="shared" si="37"/>
        <v>10</v>
      </c>
      <c r="P47" s="67">
        <f t="shared" si="37"/>
        <v>14.719999999999999</v>
      </c>
      <c r="Q47" s="67">
        <f t="shared" si="37"/>
        <v>10.123200000000001</v>
      </c>
      <c r="R47" s="67">
        <f t="shared" si="37"/>
        <v>12.429568000000003</v>
      </c>
      <c r="S47" s="67">
        <f t="shared" si="37"/>
        <v>13.935342080000002</v>
      </c>
      <c r="T47" s="67">
        <f t="shared" si="37"/>
        <v>20.788834099200002</v>
      </c>
      <c r="U47" s="67">
        <f t="shared" si="37"/>
        <v>28.344745160704008</v>
      </c>
      <c r="V47" s="67">
        <f t="shared" si="37"/>
        <v>36.687365549588492</v>
      </c>
      <c r="W47" s="67">
        <f t="shared" si="37"/>
        <v>45.911100385139115</v>
      </c>
      <c r="X47" s="67">
        <f t="shared" si="37"/>
        <v>47.802447128605245</v>
      </c>
      <c r="Y47" s="67">
        <f t="shared" si="37"/>
        <v>49.800755481287318</v>
      </c>
      <c r="Z47" s="67">
        <f t="shared" si="37"/>
        <v>0</v>
      </c>
      <c r="AA47" s="67">
        <f t="shared" si="37"/>
        <v>0</v>
      </c>
      <c r="AB47" s="67">
        <f t="shared" si="37"/>
        <v>0</v>
      </c>
      <c r="AC47" s="67">
        <f t="shared" si="37"/>
        <v>0</v>
      </c>
      <c r="AD47" s="67">
        <f t="shared" si="37"/>
        <v>0</v>
      </c>
      <c r="AE47" s="67">
        <f t="shared" si="37"/>
        <v>0</v>
      </c>
      <c r="AF47" s="67">
        <f t="shared" si="37"/>
        <v>0</v>
      </c>
      <c r="AG47" s="67">
        <f t="shared" si="37"/>
        <v>0</v>
      </c>
      <c r="AH47" s="67">
        <f t="shared" si="37"/>
        <v>0</v>
      </c>
    </row>
    <row r="48" spans="1:58" x14ac:dyDescent="0.2">
      <c r="A48" s="75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58" x14ac:dyDescent="0.2">
      <c r="A49" s="85" t="s">
        <v>38</v>
      </c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AU49" s="16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</row>
    <row r="50" spans="1:58" x14ac:dyDescent="0.2">
      <c r="A50" s="75"/>
      <c r="B50" s="24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AU50" s="18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1:58" x14ac:dyDescent="0.2">
      <c r="A51" s="66"/>
      <c r="B51" s="2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AU51" s="18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1:58" x14ac:dyDescent="0.2">
      <c r="A52" s="66"/>
      <c r="B52" s="2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AU52" s="18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1:58" x14ac:dyDescent="0.2">
      <c r="A53" s="75"/>
      <c r="B53" s="2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AU53" s="18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1:58" x14ac:dyDescent="0.2">
      <c r="A54" s="75"/>
      <c r="B54" s="2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AU54" s="19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1:58" x14ac:dyDescent="0.2">
      <c r="A55" s="75"/>
      <c r="B55" s="2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AU55" s="62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</row>
    <row r="56" spans="1:58" x14ac:dyDescent="0.2">
      <c r="A56" s="75"/>
      <c r="B56" s="2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AU56" s="18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</row>
    <row r="57" spans="1:58" x14ac:dyDescent="0.2">
      <c r="A57" s="75"/>
      <c r="B57" s="24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AU57" s="18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</row>
    <row r="58" spans="1:58" x14ac:dyDescent="0.2">
      <c r="A58" s="75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</row>
    <row r="59" spans="1:58" x14ac:dyDescent="0.2">
      <c r="A59" s="75"/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AU59" s="18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</row>
    <row r="60" spans="1:58" x14ac:dyDescent="0.2">
      <c r="A60" s="75"/>
      <c r="B60" s="2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AU60" s="18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1:58" x14ac:dyDescent="0.2">
      <c r="A61" s="75"/>
      <c r="B61" s="24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AU61" s="19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</row>
    <row r="62" spans="1:58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AU62" s="19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</row>
    <row r="63" spans="1:58" x14ac:dyDescent="0.2">
      <c r="A63" s="59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U63" s="18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</row>
    <row r="64" spans="1:58" x14ac:dyDescent="0.2">
      <c r="AU64" s="18"/>
      <c r="AV64" s="61"/>
      <c r="AW64" s="22"/>
      <c r="AX64" s="22"/>
      <c r="AY64" s="22"/>
      <c r="AZ64" s="22"/>
      <c r="BA64" s="22"/>
      <c r="BB64" s="15"/>
      <c r="BC64" s="15"/>
      <c r="BD64" s="15"/>
      <c r="BE64" s="15"/>
      <c r="BF64" s="15"/>
    </row>
    <row r="65" spans="1:58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58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58" x14ac:dyDescent="0.2">
      <c r="A67" s="5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58" x14ac:dyDescent="0.2">
      <c r="A68" s="5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AU68" s="16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</row>
    <row r="69" spans="1:58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AU69" s="18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1:58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AU70" s="18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1:58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AU71" s="18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1:58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AU72" s="18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1:58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AU73" s="19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1:58" x14ac:dyDescent="0.2">
      <c r="AU74" s="62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</row>
    <row r="75" spans="1:58" x14ac:dyDescent="0.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AU75" s="18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</row>
    <row r="76" spans="1:58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AU76" s="18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</row>
    <row r="77" spans="1:58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AU77" s="19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1:58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AU78" s="18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</row>
    <row r="79" spans="1:58" x14ac:dyDescent="0.2">
      <c r="A79" s="59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U79" s="18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1:58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AU80" s="19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47:58" x14ac:dyDescent="0.2">
      <c r="AU81" s="19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</row>
    <row r="82" spans="47:58" x14ac:dyDescent="0.2">
      <c r="AU82" s="18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</row>
    <row r="83" spans="47:58" x14ac:dyDescent="0.2">
      <c r="AU83" s="18"/>
      <c r="AV83" s="61"/>
      <c r="AW83" s="22"/>
      <c r="AX83" s="22"/>
      <c r="AY83" s="22"/>
      <c r="AZ83" s="22"/>
      <c r="BA83" s="22"/>
      <c r="BB83" s="15"/>
      <c r="BC83" s="15"/>
      <c r="BD83" s="15"/>
      <c r="BE83" s="15"/>
      <c r="BF83" s="15"/>
    </row>
  </sheetData>
  <mergeCells count="2">
    <mergeCell ref="B2:M2"/>
    <mergeCell ref="B22:M22"/>
  </mergeCells>
  <hyperlinks>
    <hyperlink ref="A49" r:id="rId1" xr:uid="{6361159E-5444-884E-B255-4992D0092385}"/>
  </hyperlinks>
  <pageMargins left="0.75" right="0.75" top="1" bottom="1" header="0.5" footer="0.5"/>
  <pageSetup orientation="portrait" horizontalDpi="4294967292" verticalDpi="429496729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3D80-599B-4344-A9E7-4DF45F218D5F}">
  <dimension ref="A1:BG83"/>
  <sheetViews>
    <sheetView showGridLines="0" zoomScale="106" workbookViewId="0">
      <pane ySplit="1" topLeftCell="A2" activePane="bottomLeft" state="frozen"/>
      <selection pane="bottomLeft" activeCell="B22" sqref="B22:M22"/>
    </sheetView>
  </sheetViews>
  <sheetFormatPr baseColWidth="10" defaultRowHeight="16" x14ac:dyDescent="0.2"/>
  <cols>
    <col min="1" max="1" width="26.6640625" style="57" customWidth="1"/>
    <col min="2" max="2" width="48.5" style="1" customWidth="1"/>
    <col min="3" max="13" width="10.83203125" style="1"/>
    <col min="14" max="34" width="0" style="57" hidden="1" customWidth="1"/>
    <col min="35" max="35" width="10.83203125" style="57"/>
    <col min="36" max="36" width="45.5" style="57" bestFit="1" customWidth="1"/>
    <col min="37" max="46" width="10.83203125" style="57"/>
    <col min="47" max="59" width="10.83203125" style="58"/>
    <col min="60" max="16384" width="10.83203125" style="57"/>
  </cols>
  <sheetData>
    <row r="1" spans="1:59" ht="91" customHeight="1" x14ac:dyDescent="0.2">
      <c r="A1" s="70"/>
      <c r="B1" s="23"/>
      <c r="C1" s="41" t="s">
        <v>18</v>
      </c>
      <c r="D1" s="41" t="s">
        <v>19</v>
      </c>
      <c r="E1" s="41" t="s">
        <v>20</v>
      </c>
      <c r="F1" s="41" t="s">
        <v>21</v>
      </c>
      <c r="G1" s="41" t="s">
        <v>22</v>
      </c>
      <c r="H1" s="41" t="s">
        <v>23</v>
      </c>
      <c r="I1" s="41" t="s">
        <v>24</v>
      </c>
      <c r="J1" s="41" t="s">
        <v>25</v>
      </c>
      <c r="K1" s="41" t="s">
        <v>26</v>
      </c>
      <c r="L1" s="41" t="s">
        <v>27</v>
      </c>
      <c r="M1" s="42" t="s">
        <v>28</v>
      </c>
    </row>
    <row r="2" spans="1:59" ht="14" customHeight="1" x14ac:dyDescent="0.2">
      <c r="A2" s="63" t="s">
        <v>34</v>
      </c>
      <c r="B2" s="136" t="s">
        <v>11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59" x14ac:dyDescent="0.2">
      <c r="A3" s="82">
        <v>0.12</v>
      </c>
      <c r="B3" s="49" t="s">
        <v>0</v>
      </c>
      <c r="C3" s="50">
        <v>100</v>
      </c>
      <c r="D3" s="50">
        <f>C3*(1+$A$3)</f>
        <v>112.00000000000001</v>
      </c>
      <c r="E3" s="50">
        <f t="shared" ref="E3:M3" si="0">D3*(1+$A$3)</f>
        <v>125.44000000000003</v>
      </c>
      <c r="F3" s="50">
        <f t="shared" si="0"/>
        <v>140.49280000000005</v>
      </c>
      <c r="G3" s="50">
        <f t="shared" si="0"/>
        <v>157.35193600000005</v>
      </c>
      <c r="H3" s="50">
        <f t="shared" si="0"/>
        <v>176.23416832000007</v>
      </c>
      <c r="I3" s="50">
        <f t="shared" si="0"/>
        <v>197.38226851840008</v>
      </c>
      <c r="J3" s="50">
        <f t="shared" si="0"/>
        <v>221.0681407406081</v>
      </c>
      <c r="K3" s="50">
        <f t="shared" si="0"/>
        <v>247.59631762948109</v>
      </c>
      <c r="L3" s="50">
        <f t="shared" si="0"/>
        <v>277.30787574501886</v>
      </c>
      <c r="M3" s="51">
        <f t="shared" si="0"/>
        <v>310.58482083442118</v>
      </c>
      <c r="AU3" s="16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4"/>
    </row>
    <row r="4" spans="1:59" x14ac:dyDescent="0.2">
      <c r="A4" s="82">
        <v>0.2</v>
      </c>
      <c r="B4" s="3" t="s">
        <v>1</v>
      </c>
      <c r="C4" s="26">
        <f>C$3*$A4</f>
        <v>20</v>
      </c>
      <c r="D4" s="26">
        <f t="shared" ref="D4:M6" si="1">D$3*$A4</f>
        <v>22.400000000000006</v>
      </c>
      <c r="E4" s="26">
        <f t="shared" si="1"/>
        <v>25.088000000000008</v>
      </c>
      <c r="F4" s="26">
        <f t="shared" si="1"/>
        <v>28.09856000000001</v>
      </c>
      <c r="G4" s="26">
        <f t="shared" si="1"/>
        <v>31.470387200000012</v>
      </c>
      <c r="H4" s="26">
        <f t="shared" si="1"/>
        <v>35.246833664000015</v>
      </c>
      <c r="I4" s="26">
        <f t="shared" si="1"/>
        <v>39.476453703680022</v>
      </c>
      <c r="J4" s="26">
        <f t="shared" si="1"/>
        <v>44.213628148121622</v>
      </c>
      <c r="K4" s="26">
        <f t="shared" si="1"/>
        <v>49.519263525896221</v>
      </c>
      <c r="L4" s="26">
        <f t="shared" si="1"/>
        <v>55.461575149003778</v>
      </c>
      <c r="M4" s="27">
        <f t="shared" si="1"/>
        <v>62.116964166884237</v>
      </c>
      <c r="AU4" s="18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</row>
    <row r="5" spans="1:59" x14ac:dyDescent="0.2">
      <c r="A5" s="82">
        <v>0.4</v>
      </c>
      <c r="B5" s="3" t="s">
        <v>2</v>
      </c>
      <c r="C5" s="26">
        <f>C$3*$A5</f>
        <v>40</v>
      </c>
      <c r="D5" s="26">
        <f t="shared" si="1"/>
        <v>44.800000000000011</v>
      </c>
      <c r="E5" s="26">
        <f t="shared" si="1"/>
        <v>50.176000000000016</v>
      </c>
      <c r="F5" s="26">
        <f t="shared" si="1"/>
        <v>56.19712000000002</v>
      </c>
      <c r="G5" s="26">
        <f t="shared" si="1"/>
        <v>62.940774400000024</v>
      </c>
      <c r="H5" s="26">
        <f t="shared" si="1"/>
        <v>70.493667328000029</v>
      </c>
      <c r="I5" s="26">
        <f t="shared" si="1"/>
        <v>78.952907407360044</v>
      </c>
      <c r="J5" s="26">
        <f t="shared" si="1"/>
        <v>88.427256296243243</v>
      </c>
      <c r="K5" s="26">
        <f t="shared" si="1"/>
        <v>99.038527051792443</v>
      </c>
      <c r="L5" s="26">
        <f t="shared" si="1"/>
        <v>110.92315029800756</v>
      </c>
      <c r="M5" s="27">
        <f t="shared" si="1"/>
        <v>124.23392833376847</v>
      </c>
      <c r="AJ5" s="71" t="s">
        <v>17</v>
      </c>
      <c r="AU5" s="18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4"/>
    </row>
    <row r="6" spans="1:59" x14ac:dyDescent="0.2">
      <c r="A6" s="82">
        <v>0.15</v>
      </c>
      <c r="B6" s="3" t="s">
        <v>8</v>
      </c>
      <c r="C6" s="26">
        <f>C$3*$A6</f>
        <v>15</v>
      </c>
      <c r="D6" s="26">
        <f t="shared" si="1"/>
        <v>16.8</v>
      </c>
      <c r="E6" s="26">
        <f t="shared" si="1"/>
        <v>18.816000000000003</v>
      </c>
      <c r="F6" s="26">
        <f t="shared" si="1"/>
        <v>21.073920000000005</v>
      </c>
      <c r="G6" s="26">
        <f t="shared" si="1"/>
        <v>23.602790400000007</v>
      </c>
      <c r="H6" s="26">
        <f t="shared" si="1"/>
        <v>26.435125248000009</v>
      </c>
      <c r="I6" s="26">
        <f t="shared" si="1"/>
        <v>29.607340277760009</v>
      </c>
      <c r="J6" s="26">
        <f t="shared" si="1"/>
        <v>33.160221111091211</v>
      </c>
      <c r="K6" s="26">
        <f t="shared" si="1"/>
        <v>37.139447644422162</v>
      </c>
      <c r="L6" s="26">
        <f t="shared" si="1"/>
        <v>41.596181361752826</v>
      </c>
      <c r="M6" s="27">
        <f t="shared" si="1"/>
        <v>46.587723125163173</v>
      </c>
      <c r="AJ6" s="72" t="str">
        <f>"#of years of Capitalization of "&amp;B5</f>
        <v>#of years of Capitalization of R&amp;D</v>
      </c>
      <c r="AU6" s="18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4"/>
    </row>
    <row r="7" spans="1:59" x14ac:dyDescent="0.2">
      <c r="A7" s="82"/>
      <c r="B7" s="52" t="s">
        <v>3</v>
      </c>
      <c r="C7" s="43">
        <f>C3-SUM(C4:C6)</f>
        <v>25</v>
      </c>
      <c r="D7" s="43">
        <f t="shared" ref="D7:K7" si="2">D3-SUM(D4:D6)</f>
        <v>28</v>
      </c>
      <c r="E7" s="43">
        <f t="shared" si="2"/>
        <v>31.36</v>
      </c>
      <c r="F7" s="43">
        <f t="shared" si="2"/>
        <v>35.123200000000011</v>
      </c>
      <c r="G7" s="43">
        <f t="shared" si="2"/>
        <v>39.337984000000006</v>
      </c>
      <c r="H7" s="43">
        <f t="shared" si="2"/>
        <v>44.058542079999995</v>
      </c>
      <c r="I7" s="43">
        <f t="shared" si="2"/>
        <v>49.345567129599999</v>
      </c>
      <c r="J7" s="43">
        <f t="shared" si="2"/>
        <v>55.267035185152025</v>
      </c>
      <c r="K7" s="43">
        <f t="shared" si="2"/>
        <v>61.899079407370294</v>
      </c>
      <c r="L7" s="43">
        <f t="shared" ref="L7:M7" si="3">L3-SUM(L4:L6)</f>
        <v>69.326968936254701</v>
      </c>
      <c r="M7" s="44">
        <f t="shared" si="3"/>
        <v>77.646205208605295</v>
      </c>
      <c r="AJ7" s="73">
        <v>0</v>
      </c>
      <c r="AU7" s="18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4"/>
    </row>
    <row r="8" spans="1:59" x14ac:dyDescent="0.2">
      <c r="A8" s="82">
        <v>0.3</v>
      </c>
      <c r="B8" s="3" t="s">
        <v>4</v>
      </c>
      <c r="C8" s="26">
        <f>C$7*$A8</f>
        <v>7.5</v>
      </c>
      <c r="D8" s="26">
        <f t="shared" ref="D8:M8" si="4">D$7*$A8</f>
        <v>8.4</v>
      </c>
      <c r="E8" s="26">
        <f t="shared" si="4"/>
        <v>9.4079999999999995</v>
      </c>
      <c r="F8" s="26">
        <f t="shared" si="4"/>
        <v>10.536960000000002</v>
      </c>
      <c r="G8" s="26">
        <f t="shared" si="4"/>
        <v>11.801395200000002</v>
      </c>
      <c r="H8" s="26">
        <f t="shared" si="4"/>
        <v>13.217562623999997</v>
      </c>
      <c r="I8" s="26">
        <f t="shared" si="4"/>
        <v>14.803670138879999</v>
      </c>
      <c r="J8" s="26">
        <f t="shared" si="4"/>
        <v>16.580110555545605</v>
      </c>
      <c r="K8" s="26">
        <f t="shared" si="4"/>
        <v>18.569723822211088</v>
      </c>
      <c r="L8" s="26">
        <f t="shared" si="4"/>
        <v>20.79809068087641</v>
      </c>
      <c r="M8" s="27">
        <f t="shared" si="4"/>
        <v>23.293861562581586</v>
      </c>
      <c r="AJ8" s="74"/>
      <c r="AU8" s="19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4"/>
    </row>
    <row r="9" spans="1:59" x14ac:dyDescent="0.2">
      <c r="A9" s="82"/>
      <c r="B9" s="3" t="s">
        <v>5</v>
      </c>
      <c r="C9" s="26">
        <f>C7-C8</f>
        <v>17.5</v>
      </c>
      <c r="D9" s="26">
        <f t="shared" ref="D9:M9" si="5">D7-D8</f>
        <v>19.600000000000001</v>
      </c>
      <c r="E9" s="26">
        <f t="shared" si="5"/>
        <v>21.951999999999998</v>
      </c>
      <c r="F9" s="26">
        <f t="shared" si="5"/>
        <v>24.586240000000011</v>
      </c>
      <c r="G9" s="26">
        <f t="shared" si="5"/>
        <v>27.536588800000004</v>
      </c>
      <c r="H9" s="26">
        <f t="shared" si="5"/>
        <v>30.840979455999999</v>
      </c>
      <c r="I9" s="26">
        <f t="shared" si="5"/>
        <v>34.541896990719998</v>
      </c>
      <c r="J9" s="26">
        <f t="shared" si="5"/>
        <v>38.686924629606423</v>
      </c>
      <c r="K9" s="26">
        <f t="shared" si="5"/>
        <v>43.329355585159206</v>
      </c>
      <c r="L9" s="26">
        <f t="shared" si="5"/>
        <v>48.528878255378288</v>
      </c>
      <c r="M9" s="27">
        <f t="shared" si="5"/>
        <v>54.352343646023712</v>
      </c>
      <c r="AJ9" s="72" t="str">
        <f>"#of years of Capitalization of "&amp;B6</f>
        <v>#of years of Capitalization of Sales &amp; Marketing</v>
      </c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14"/>
    </row>
    <row r="10" spans="1:59" x14ac:dyDescent="0.2">
      <c r="A10" s="82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AJ10" s="73">
        <v>3</v>
      </c>
      <c r="AU10" s="20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4"/>
    </row>
    <row r="11" spans="1:59" x14ac:dyDescent="0.2">
      <c r="A11" s="82"/>
      <c r="B11" s="52" t="s">
        <v>3</v>
      </c>
      <c r="C11" s="43">
        <f>C7</f>
        <v>25</v>
      </c>
      <c r="D11" s="43">
        <f t="shared" ref="D11:M11" si="6">D7</f>
        <v>28</v>
      </c>
      <c r="E11" s="43">
        <f t="shared" si="6"/>
        <v>31.36</v>
      </c>
      <c r="F11" s="43">
        <f t="shared" si="6"/>
        <v>35.123200000000011</v>
      </c>
      <c r="G11" s="43">
        <f t="shared" si="6"/>
        <v>39.337984000000006</v>
      </c>
      <c r="H11" s="43">
        <f t="shared" si="6"/>
        <v>44.058542079999995</v>
      </c>
      <c r="I11" s="43">
        <f t="shared" si="6"/>
        <v>49.345567129599999</v>
      </c>
      <c r="J11" s="43">
        <f t="shared" si="6"/>
        <v>55.267035185152025</v>
      </c>
      <c r="K11" s="43">
        <f t="shared" si="6"/>
        <v>61.899079407370294</v>
      </c>
      <c r="L11" s="43">
        <f t="shared" si="6"/>
        <v>69.326968936254701</v>
      </c>
      <c r="M11" s="44">
        <f t="shared" si="6"/>
        <v>77.646205208605295</v>
      </c>
      <c r="AJ11" s="64"/>
      <c r="AU11" s="19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4"/>
    </row>
    <row r="12" spans="1:59" x14ac:dyDescent="0.2">
      <c r="A12" s="82">
        <v>0.33</v>
      </c>
      <c r="B12" s="3" t="s">
        <v>6</v>
      </c>
      <c r="C12" s="26">
        <f>C$7*$A12</f>
        <v>8.25</v>
      </c>
      <c r="D12" s="26">
        <f t="shared" ref="D12:M12" si="7">D$7*$A12</f>
        <v>9.24</v>
      </c>
      <c r="E12" s="26">
        <f t="shared" si="7"/>
        <v>10.348800000000001</v>
      </c>
      <c r="F12" s="26">
        <f t="shared" si="7"/>
        <v>11.590656000000005</v>
      </c>
      <c r="G12" s="26">
        <f t="shared" si="7"/>
        <v>12.981534720000003</v>
      </c>
      <c r="H12" s="26">
        <f t="shared" si="7"/>
        <v>14.539318886399998</v>
      </c>
      <c r="I12" s="26">
        <f t="shared" si="7"/>
        <v>16.284037152768001</v>
      </c>
      <c r="J12" s="26">
        <f t="shared" si="7"/>
        <v>18.238121611100169</v>
      </c>
      <c r="K12" s="26">
        <f t="shared" si="7"/>
        <v>20.426696204432197</v>
      </c>
      <c r="L12" s="26">
        <f t="shared" si="7"/>
        <v>22.877899748964051</v>
      </c>
      <c r="M12" s="27">
        <f t="shared" si="7"/>
        <v>25.62324771883975</v>
      </c>
      <c r="AJ12" s="60" t="s">
        <v>13</v>
      </c>
      <c r="AU12" s="18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4"/>
    </row>
    <row r="13" spans="1:59" x14ac:dyDescent="0.2">
      <c r="A13" s="82"/>
      <c r="B13" s="52" t="s">
        <v>7</v>
      </c>
      <c r="C13" s="43">
        <f>C11-C12</f>
        <v>16.75</v>
      </c>
      <c r="D13" s="43">
        <f t="shared" ref="D13:M13" si="8">D11-D12</f>
        <v>18.759999999999998</v>
      </c>
      <c r="E13" s="43">
        <f t="shared" si="8"/>
        <v>21.011199999999999</v>
      </c>
      <c r="F13" s="43">
        <f t="shared" si="8"/>
        <v>23.532544000000009</v>
      </c>
      <c r="G13" s="43">
        <f t="shared" si="8"/>
        <v>26.356449280000003</v>
      </c>
      <c r="H13" s="43">
        <f t="shared" si="8"/>
        <v>29.519223193599998</v>
      </c>
      <c r="I13" s="43">
        <f t="shared" si="8"/>
        <v>33.061529976831999</v>
      </c>
      <c r="J13" s="43">
        <f t="shared" si="8"/>
        <v>37.028913574051856</v>
      </c>
      <c r="K13" s="43">
        <f t="shared" si="8"/>
        <v>41.472383202938097</v>
      </c>
      <c r="L13" s="43">
        <f t="shared" si="8"/>
        <v>46.449069187290647</v>
      </c>
      <c r="M13" s="44">
        <f t="shared" si="8"/>
        <v>52.022957489765545</v>
      </c>
      <c r="AJ13" s="65">
        <v>7.0000000000000007E-2</v>
      </c>
      <c r="AU13" s="19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14"/>
    </row>
    <row r="14" spans="1:59" x14ac:dyDescent="0.2">
      <c r="A14" s="82"/>
      <c r="B14" s="3"/>
      <c r="C14" s="26"/>
      <c r="D14" s="32"/>
      <c r="E14" s="26"/>
      <c r="F14" s="26"/>
      <c r="G14" s="26"/>
      <c r="H14" s="26"/>
      <c r="I14" s="26"/>
      <c r="J14" s="26"/>
      <c r="K14" s="26"/>
      <c r="L14" s="26"/>
      <c r="M14" s="27"/>
      <c r="AU14" s="18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14"/>
    </row>
    <row r="15" spans="1:59" x14ac:dyDescent="0.2">
      <c r="A15" s="82">
        <v>0.09</v>
      </c>
      <c r="B15" s="3" t="s">
        <v>12</v>
      </c>
      <c r="C15" s="26">
        <v>237</v>
      </c>
      <c r="D15" s="26">
        <f>C15*(1+$A$15)</f>
        <v>258.33000000000004</v>
      </c>
      <c r="E15" s="26">
        <f t="shared" ref="E15:M15" si="9">D15*(1+$A$15)</f>
        <v>281.57970000000006</v>
      </c>
      <c r="F15" s="26">
        <f t="shared" si="9"/>
        <v>306.92187300000006</v>
      </c>
      <c r="G15" s="26">
        <f t="shared" si="9"/>
        <v>334.54484157000007</v>
      </c>
      <c r="H15" s="26">
        <f t="shared" si="9"/>
        <v>364.65387731130011</v>
      </c>
      <c r="I15" s="26">
        <f t="shared" si="9"/>
        <v>397.47272626931715</v>
      </c>
      <c r="J15" s="26">
        <f t="shared" si="9"/>
        <v>433.24527163355572</v>
      </c>
      <c r="K15" s="26">
        <f t="shared" si="9"/>
        <v>472.23734608057578</v>
      </c>
      <c r="L15" s="26">
        <f t="shared" si="9"/>
        <v>514.7387072278276</v>
      </c>
      <c r="M15" s="27">
        <f t="shared" si="9"/>
        <v>561.06519087833215</v>
      </c>
      <c r="AU15" s="18"/>
      <c r="AV15" s="61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4"/>
    </row>
    <row r="16" spans="1:59" x14ac:dyDescent="0.2">
      <c r="A16" s="82"/>
      <c r="B16" s="52" t="s">
        <v>32</v>
      </c>
      <c r="C16" s="45">
        <f>C13/C15</f>
        <v>7.0675105485232065E-2</v>
      </c>
      <c r="D16" s="45">
        <f t="shared" ref="D16:M16" si="10">D13/D15</f>
        <v>7.2620291874733844E-2</v>
      </c>
      <c r="E16" s="45">
        <f t="shared" si="10"/>
        <v>7.4619015504313685E-2</v>
      </c>
      <c r="F16" s="45">
        <f t="shared" si="10"/>
        <v>7.6672749875992069E-2</v>
      </c>
      <c r="G16" s="45">
        <f t="shared" si="10"/>
        <v>7.8783009046890909E-2</v>
      </c>
      <c r="H16" s="45">
        <f t="shared" si="10"/>
        <v>8.0951348745429169E-2</v>
      </c>
      <c r="I16" s="45">
        <f t="shared" si="10"/>
        <v>8.317936751823915E-2</v>
      </c>
      <c r="J16" s="45">
        <f t="shared" si="10"/>
        <v>8.5468707908649438E-2</v>
      </c>
      <c r="K16" s="45">
        <f t="shared" si="10"/>
        <v>8.782105766760312E-2</v>
      </c>
      <c r="L16" s="45">
        <f t="shared" si="10"/>
        <v>9.0238150997904082E-2</v>
      </c>
      <c r="M16" s="46">
        <f t="shared" si="10"/>
        <v>9.27217698327088E-2</v>
      </c>
      <c r="AU16" s="12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4"/>
    </row>
    <row r="17" spans="1:59" x14ac:dyDescent="0.2">
      <c r="A17" s="82"/>
      <c r="B17" s="3" t="s">
        <v>14</v>
      </c>
      <c r="C17" s="28">
        <f t="shared" ref="C17:M17" si="11">(C16-$AJ$13)*C15</f>
        <v>0.15999999999999778</v>
      </c>
      <c r="D17" s="28">
        <f t="shared" si="11"/>
        <v>0.6768999999999924</v>
      </c>
      <c r="E17" s="28">
        <f t="shared" si="11"/>
        <v>1.3006209999999945</v>
      </c>
      <c r="F17" s="28">
        <f t="shared" si="11"/>
        <v>2.0480128900000021</v>
      </c>
      <c r="G17" s="28">
        <f t="shared" si="11"/>
        <v>2.9383103700999942</v>
      </c>
      <c r="H17" s="28">
        <f t="shared" si="11"/>
        <v>3.9934517818089863</v>
      </c>
      <c r="I17" s="28">
        <f t="shared" si="11"/>
        <v>5.238439137979797</v>
      </c>
      <c r="J17" s="28">
        <f t="shared" si="11"/>
        <v>6.7017445597029548</v>
      </c>
      <c r="K17" s="28">
        <f t="shared" si="11"/>
        <v>8.4157689772977893</v>
      </c>
      <c r="L17" s="28">
        <f t="shared" si="11"/>
        <v>10.417359681342713</v>
      </c>
      <c r="M17" s="33">
        <f t="shared" si="11"/>
        <v>12.748394128282289</v>
      </c>
      <c r="BG17" s="14"/>
    </row>
    <row r="18" spans="1:59" x14ac:dyDescent="0.2">
      <c r="A18" s="82"/>
      <c r="B18" s="3" t="s">
        <v>15</v>
      </c>
      <c r="C18" s="29">
        <f>C13/C3</f>
        <v>0.16750000000000001</v>
      </c>
      <c r="D18" s="29">
        <f t="shared" ref="D18:M18" si="12">D13/D3</f>
        <v>0.16749999999999995</v>
      </c>
      <c r="E18" s="29">
        <f t="shared" si="12"/>
        <v>0.16749999999999995</v>
      </c>
      <c r="F18" s="29">
        <f t="shared" si="12"/>
        <v>0.16750000000000001</v>
      </c>
      <c r="G18" s="29">
        <f t="shared" si="12"/>
        <v>0.16749999999999995</v>
      </c>
      <c r="H18" s="29">
        <f t="shared" si="12"/>
        <v>0.16749999999999993</v>
      </c>
      <c r="I18" s="29">
        <f t="shared" si="12"/>
        <v>0.16749999999999993</v>
      </c>
      <c r="J18" s="29">
        <f t="shared" si="12"/>
        <v>0.16750000000000001</v>
      </c>
      <c r="K18" s="29">
        <f t="shared" si="12"/>
        <v>0.16750000000000007</v>
      </c>
      <c r="L18" s="29">
        <f t="shared" si="12"/>
        <v>0.16749999999999995</v>
      </c>
      <c r="M18" s="34">
        <f t="shared" si="12"/>
        <v>0.16749999999999998</v>
      </c>
      <c r="BG18" s="14"/>
    </row>
    <row r="19" spans="1:59" x14ac:dyDescent="0.2">
      <c r="A19" s="82"/>
      <c r="B19" s="3" t="s">
        <v>16</v>
      </c>
      <c r="C19" s="31">
        <f>C3/C15</f>
        <v>0.4219409282700422</v>
      </c>
      <c r="D19" s="31">
        <f t="shared" ref="D19:M19" si="13">D3/D15</f>
        <v>0.43355398134169471</v>
      </c>
      <c r="E19" s="31">
        <f t="shared" si="13"/>
        <v>0.44548665972724594</v>
      </c>
      <c r="F19" s="31">
        <f t="shared" si="13"/>
        <v>0.45774776045368398</v>
      </c>
      <c r="G19" s="31">
        <f t="shared" si="13"/>
        <v>0.47034632266800558</v>
      </c>
      <c r="H19" s="31">
        <f t="shared" si="13"/>
        <v>0.48329163430106992</v>
      </c>
      <c r="I19" s="31">
        <f t="shared" si="13"/>
        <v>0.49659323891486079</v>
      </c>
      <c r="J19" s="31">
        <f t="shared" si="13"/>
        <v>0.51026094273820555</v>
      </c>
      <c r="K19" s="31">
        <f t="shared" si="13"/>
        <v>0.52430482189613781</v>
      </c>
      <c r="L19" s="31">
        <f t="shared" si="13"/>
        <v>0.53873522983823341</v>
      </c>
      <c r="M19" s="35">
        <f t="shared" si="13"/>
        <v>0.55356280497139587</v>
      </c>
      <c r="BG19" s="14"/>
    </row>
    <row r="20" spans="1:59" x14ac:dyDescent="0.2">
      <c r="A20" s="82"/>
      <c r="B20" s="55" t="s">
        <v>29</v>
      </c>
      <c r="C20" s="56"/>
      <c r="D20" s="47">
        <f>D13-(D15-C15)</f>
        <v>-2.5700000000000429</v>
      </c>
      <c r="E20" s="47">
        <f t="shared" ref="E20:AH20" si="14">E13-(E15-D15)</f>
        <v>-2.2385000000000197</v>
      </c>
      <c r="F20" s="47">
        <f t="shared" si="14"/>
        <v>-1.8096289999999939</v>
      </c>
      <c r="G20" s="47">
        <f t="shared" si="14"/>
        <v>-1.2665192900000086</v>
      </c>
      <c r="H20" s="47">
        <f t="shared" si="14"/>
        <v>-0.58981254770003488</v>
      </c>
      <c r="I20" s="47">
        <f t="shared" si="14"/>
        <v>0.24268101881495596</v>
      </c>
      <c r="J20" s="47">
        <f t="shared" si="14"/>
        <v>1.2563682098132887</v>
      </c>
      <c r="K20" s="47">
        <f t="shared" si="14"/>
        <v>2.4803087559180383</v>
      </c>
      <c r="L20" s="47">
        <f t="shared" si="14"/>
        <v>3.9477080400388189</v>
      </c>
      <c r="M20" s="48">
        <f t="shared" si="14"/>
        <v>5.696473839261003</v>
      </c>
      <c r="N20" s="67">
        <f t="shared" si="14"/>
        <v>561.06519087833215</v>
      </c>
      <c r="O20" s="67">
        <f t="shared" si="14"/>
        <v>0</v>
      </c>
      <c r="P20" s="67">
        <f t="shared" si="14"/>
        <v>0</v>
      </c>
      <c r="Q20" s="67">
        <f t="shared" si="14"/>
        <v>0</v>
      </c>
      <c r="R20" s="67">
        <f t="shared" si="14"/>
        <v>0</v>
      </c>
      <c r="S20" s="67">
        <f t="shared" si="14"/>
        <v>0</v>
      </c>
      <c r="T20" s="67">
        <f t="shared" si="14"/>
        <v>0</v>
      </c>
      <c r="U20" s="67">
        <f t="shared" si="14"/>
        <v>0</v>
      </c>
      <c r="V20" s="67">
        <f t="shared" si="14"/>
        <v>0</v>
      </c>
      <c r="W20" s="67">
        <f t="shared" si="14"/>
        <v>0</v>
      </c>
      <c r="X20" s="67">
        <f t="shared" si="14"/>
        <v>0</v>
      </c>
      <c r="Y20" s="67">
        <f t="shared" si="14"/>
        <v>0</v>
      </c>
      <c r="Z20" s="67">
        <f t="shared" si="14"/>
        <v>0</v>
      </c>
      <c r="AA20" s="67">
        <f t="shared" si="14"/>
        <v>0</v>
      </c>
      <c r="AB20" s="67">
        <f t="shared" si="14"/>
        <v>0</v>
      </c>
      <c r="AC20" s="67">
        <f t="shared" si="14"/>
        <v>0</v>
      </c>
      <c r="AD20" s="67">
        <f t="shared" si="14"/>
        <v>0</v>
      </c>
      <c r="AE20" s="67">
        <f t="shared" si="14"/>
        <v>0</v>
      </c>
      <c r="AF20" s="67">
        <f t="shared" si="14"/>
        <v>0</v>
      </c>
      <c r="AG20" s="67">
        <f t="shared" si="14"/>
        <v>0</v>
      </c>
      <c r="AH20" s="67">
        <f t="shared" si="14"/>
        <v>0</v>
      </c>
      <c r="BG20" s="14"/>
    </row>
    <row r="21" spans="1:59" x14ac:dyDescent="0.2">
      <c r="A21" s="82"/>
      <c r="B21" s="2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BG21" s="14"/>
    </row>
    <row r="22" spans="1:59" ht="41" customHeight="1" x14ac:dyDescent="0.2">
      <c r="A22" s="83"/>
      <c r="B22" s="140" t="s">
        <v>33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</row>
    <row r="23" spans="1:59" x14ac:dyDescent="0.2">
      <c r="A23" s="83"/>
      <c r="B23" s="49" t="s">
        <v>3</v>
      </c>
      <c r="C23" s="50">
        <f>C7</f>
        <v>25</v>
      </c>
      <c r="D23" s="50">
        <f t="shared" ref="D23:M23" si="15">D7</f>
        <v>28</v>
      </c>
      <c r="E23" s="50">
        <f t="shared" si="15"/>
        <v>31.36</v>
      </c>
      <c r="F23" s="50">
        <f t="shared" si="15"/>
        <v>35.123200000000011</v>
      </c>
      <c r="G23" s="50">
        <f t="shared" si="15"/>
        <v>39.337984000000006</v>
      </c>
      <c r="H23" s="50">
        <f t="shared" si="15"/>
        <v>44.058542079999995</v>
      </c>
      <c r="I23" s="50">
        <f t="shared" si="15"/>
        <v>49.345567129599999</v>
      </c>
      <c r="J23" s="50">
        <f t="shared" si="15"/>
        <v>55.267035185152025</v>
      </c>
      <c r="K23" s="50">
        <f t="shared" si="15"/>
        <v>61.899079407370294</v>
      </c>
      <c r="L23" s="50">
        <f t="shared" si="15"/>
        <v>69.326968936254701</v>
      </c>
      <c r="M23" s="51">
        <f t="shared" si="15"/>
        <v>77.646205208605295</v>
      </c>
      <c r="O23" s="57">
        <v>1</v>
      </c>
      <c r="P23" s="57">
        <v>2</v>
      </c>
      <c r="Q23" s="57">
        <v>3</v>
      </c>
      <c r="R23" s="57">
        <v>4</v>
      </c>
      <c r="S23" s="57">
        <v>5</v>
      </c>
      <c r="T23" s="57">
        <v>6</v>
      </c>
      <c r="U23" s="57">
        <v>7</v>
      </c>
      <c r="V23" s="57">
        <v>8</v>
      </c>
      <c r="W23" s="57">
        <v>9</v>
      </c>
      <c r="X23" s="57">
        <v>10</v>
      </c>
      <c r="Y23" s="57">
        <v>11</v>
      </c>
    </row>
    <row r="24" spans="1:59" x14ac:dyDescent="0.2">
      <c r="A24" s="83"/>
      <c r="B24" s="3" t="str">
        <f>"+ "&amp;B5</f>
        <v>+ R&amp;D</v>
      </c>
      <c r="C24" s="26">
        <f t="shared" ref="C24:M25" si="16">C5</f>
        <v>40</v>
      </c>
      <c r="D24" s="26">
        <f t="shared" si="16"/>
        <v>44.800000000000011</v>
      </c>
      <c r="E24" s="26">
        <f t="shared" si="16"/>
        <v>50.176000000000016</v>
      </c>
      <c r="F24" s="26">
        <f t="shared" si="16"/>
        <v>56.19712000000002</v>
      </c>
      <c r="G24" s="26">
        <f t="shared" si="16"/>
        <v>62.940774400000024</v>
      </c>
      <c r="H24" s="26">
        <f t="shared" si="16"/>
        <v>70.493667328000029</v>
      </c>
      <c r="I24" s="26">
        <f t="shared" si="16"/>
        <v>78.952907407360044</v>
      </c>
      <c r="J24" s="26">
        <f t="shared" si="16"/>
        <v>88.427256296243243</v>
      </c>
      <c r="K24" s="26">
        <f t="shared" si="16"/>
        <v>99.038527051792443</v>
      </c>
      <c r="L24" s="26">
        <f t="shared" si="16"/>
        <v>110.92315029800756</v>
      </c>
      <c r="M24" s="27">
        <f t="shared" si="16"/>
        <v>124.23392833376847</v>
      </c>
      <c r="N24" s="57">
        <v>1</v>
      </c>
      <c r="O24" s="68" t="e">
        <f t="shared" ref="O24:Y24" si="17">C6/$AJ$7</f>
        <v>#DIV/0!</v>
      </c>
      <c r="P24" s="68" t="e">
        <f t="shared" si="17"/>
        <v>#DIV/0!</v>
      </c>
      <c r="Q24" s="68" t="e">
        <f t="shared" si="17"/>
        <v>#DIV/0!</v>
      </c>
      <c r="R24" s="68" t="e">
        <f t="shared" si="17"/>
        <v>#DIV/0!</v>
      </c>
      <c r="S24" s="68" t="e">
        <f t="shared" si="17"/>
        <v>#DIV/0!</v>
      </c>
      <c r="T24" s="68" t="e">
        <f t="shared" si="17"/>
        <v>#DIV/0!</v>
      </c>
      <c r="U24" s="68" t="e">
        <f t="shared" si="17"/>
        <v>#DIV/0!</v>
      </c>
      <c r="V24" s="68" t="e">
        <f t="shared" si="17"/>
        <v>#DIV/0!</v>
      </c>
      <c r="W24" s="68" t="e">
        <f t="shared" si="17"/>
        <v>#DIV/0!</v>
      </c>
      <c r="X24" s="68" t="e">
        <f t="shared" si="17"/>
        <v>#DIV/0!</v>
      </c>
      <c r="Y24" s="68" t="e">
        <f t="shared" si="17"/>
        <v>#DIV/0!</v>
      </c>
      <c r="AI24" s="86"/>
    </row>
    <row r="25" spans="1:59" x14ac:dyDescent="0.2">
      <c r="A25" s="83"/>
      <c r="B25" s="3" t="str">
        <f>"+ "&amp;B6</f>
        <v>+ Sales &amp; Marketing</v>
      </c>
      <c r="C25" s="26">
        <f t="shared" si="16"/>
        <v>15</v>
      </c>
      <c r="D25" s="26">
        <f t="shared" si="16"/>
        <v>16.8</v>
      </c>
      <c r="E25" s="26">
        <f t="shared" si="16"/>
        <v>18.816000000000003</v>
      </c>
      <c r="F25" s="26">
        <f t="shared" si="16"/>
        <v>21.073920000000005</v>
      </c>
      <c r="G25" s="26">
        <f t="shared" si="16"/>
        <v>23.602790400000007</v>
      </c>
      <c r="H25" s="26">
        <f t="shared" si="16"/>
        <v>26.435125248000009</v>
      </c>
      <c r="I25" s="26">
        <f t="shared" si="16"/>
        <v>29.607340277760009</v>
      </c>
      <c r="J25" s="26">
        <f t="shared" si="16"/>
        <v>33.160221111091211</v>
      </c>
      <c r="K25" s="26">
        <f t="shared" si="16"/>
        <v>37.139447644422162</v>
      </c>
      <c r="L25" s="26">
        <f t="shared" si="16"/>
        <v>41.596181361752826</v>
      </c>
      <c r="M25" s="27">
        <f t="shared" si="16"/>
        <v>46.587723125163173</v>
      </c>
      <c r="N25" s="57">
        <v>2</v>
      </c>
      <c r="O25" s="69" t="e">
        <f>O24</f>
        <v>#DIV/0!</v>
      </c>
      <c r="P25" s="69" t="e">
        <f>+O25</f>
        <v>#DIV/0!</v>
      </c>
      <c r="Q25" s="69"/>
      <c r="R25" s="69"/>
      <c r="S25" s="69"/>
      <c r="T25" s="69"/>
      <c r="U25" s="69"/>
      <c r="V25" s="69"/>
      <c r="W25" s="69"/>
      <c r="X25" s="69"/>
    </row>
    <row r="26" spans="1:59" hidden="1" x14ac:dyDescent="0.2">
      <c r="A26" s="83"/>
      <c r="B26" s="3"/>
      <c r="C26" s="26" t="e">
        <f t="shared" ref="C26:M26" si="18">C24/$AJ$7</f>
        <v>#DIV/0!</v>
      </c>
      <c r="D26" s="26" t="e">
        <f t="shared" si="18"/>
        <v>#DIV/0!</v>
      </c>
      <c r="E26" s="26" t="e">
        <f t="shared" si="18"/>
        <v>#DIV/0!</v>
      </c>
      <c r="F26" s="26" t="e">
        <f t="shared" si="18"/>
        <v>#DIV/0!</v>
      </c>
      <c r="G26" s="26" t="e">
        <f t="shared" si="18"/>
        <v>#DIV/0!</v>
      </c>
      <c r="H26" s="26" t="e">
        <f t="shared" si="18"/>
        <v>#DIV/0!</v>
      </c>
      <c r="I26" s="26" t="e">
        <f t="shared" si="18"/>
        <v>#DIV/0!</v>
      </c>
      <c r="J26" s="26" t="e">
        <f t="shared" si="18"/>
        <v>#DIV/0!</v>
      </c>
      <c r="K26" s="26" t="e">
        <f t="shared" si="18"/>
        <v>#DIV/0!</v>
      </c>
      <c r="L26" s="26" t="e">
        <f t="shared" si="18"/>
        <v>#DIV/0!</v>
      </c>
      <c r="M26" s="27" t="e">
        <f t="shared" si="18"/>
        <v>#DIV/0!</v>
      </c>
      <c r="N26" s="57">
        <v>3</v>
      </c>
      <c r="P26" s="69" t="e">
        <f>+P24</f>
        <v>#DIV/0!</v>
      </c>
      <c r="Q26" s="69" t="e">
        <f>+P26</f>
        <v>#DIV/0!</v>
      </c>
      <c r="R26" s="69"/>
      <c r="S26" s="69"/>
      <c r="T26" s="69"/>
      <c r="U26" s="69"/>
      <c r="V26" s="69"/>
      <c r="W26" s="69"/>
      <c r="X26" s="69"/>
      <c r="Y26" s="69"/>
      <c r="Z26" s="69">
        <f t="shared" ref="X26:AF33" si="19">+Y26</f>
        <v>0</v>
      </c>
    </row>
    <row r="27" spans="1:59" x14ac:dyDescent="0.2">
      <c r="A27" s="83"/>
      <c r="B27" s="3" t="str">
        <f>" - Amortization of "&amp;B5</f>
        <v xml:space="preserve"> - Amortization of R&amp;D</v>
      </c>
      <c r="C27" s="26">
        <f>IF(AJ7=0,0,(C24/$AJ$7))</f>
        <v>0</v>
      </c>
      <c r="D27" s="26">
        <f>IF($AJ$7=0,0,IF($AJ$7=2,SUM($C26:D26),IF($AJ$7=3,SUM($C26:D26),IF($AJ$7=4,SUM($C26:D26),IF($AJ$7=5,SUM($C26:D26),IF($AJ$7=6,SUM($C26:D26),IF($AJ$7=7,SUM($C26:D26),IF($AJ$7=8,SUM($C$26:D26),IF($AJ$7=9,SUM($C26:D26),IF($AJ$7=10,SUM($C26:D26)))))))))))</f>
        <v>0</v>
      </c>
      <c r="E27" s="26">
        <f>IF($AJ$7=0,0,IF($AJ$7=2,SUM(D26:E26),IF($AJ$7=3,SUM($C26:E26),IF($AJ$7=4,SUM($C26:E26),IF($AJ$7=5,SUM($C26:E26),IF($AJ$7=6,SUM($C26:E26),IF($AJ$7=7,SUM($C26:E26),IF($AJ$7=8,SUM($C$26:E26),IF($AJ$7=9,SUM($C26:E26),IF($AJ$7=10,SUM($C26:E26)))))))))))</f>
        <v>0</v>
      </c>
      <c r="F27" s="26">
        <f>IF($AJ$7=0,0,IF($AJ$7=2,SUM(E26:F26),IF($AJ$7=3,SUM(D26:F26),IF($AJ$7=4,SUM($C26:F26),IF($AJ$7=5,SUM($C26:F26),IF($AJ$7=6,SUM($C26:F26),IF($AJ$7=7,SUM($C26:F26),IF($AJ$7=8,SUM($C$26:F26),IF($AJ$7=9,SUM($C26:F26),IF($AJ$7=10,SUM($C26:F26)))))))))))</f>
        <v>0</v>
      </c>
      <c r="G27" s="26">
        <f>IF($AJ$7=0,0,IF($AJ$7=2,SUM(F26:G26),IF($AJ$7=3,SUM(E26:G26),IF($AJ$7=4,SUM(D26:G26),IF($AJ$7=5,SUM($C26:G26),IF($AJ$7=6,SUM($C26:G26),IF($AJ$7=7,SUM($C26:G26),IF($AJ$7=8,SUM($C$26:G26),IF($AJ$7=9,SUM($C26:G26),IF($AJ$7=10,SUM($C26:G26)))))))))))</f>
        <v>0</v>
      </c>
      <c r="H27" s="26">
        <f>IF($AJ$7=0,0,IF($AJ$7=2,SUM(G26:H26),IF($AJ$7=3,SUM(F26:H26),IF($AJ$7=4,SUM(E26:H26),IF($AJ$7=5,SUM(D26:H26),IF($AJ$7=6,SUM($C26:H26),IF($AJ$7=7,SUM($C26:H26),IF($AJ$7=8,SUM($C$26:H26),IF($AJ$7=9,SUM($C26:H26),IF($AJ$7=10,SUM($C26:H26)))))))))))</f>
        <v>0</v>
      </c>
      <c r="I27" s="26">
        <f>IF($AJ$7=0,0,IF($AJ$7=2,SUM(H26:I26),IF($AJ$7=3,SUM(G26:I26),IF($AJ$7=4,SUM(F26:I26),IF($AJ$7=5,SUM(E26:I26),IF($AJ$7=6,SUM(D26:I26),IF($AJ$7=7,SUM($C26:I26),IF($AJ$7=8,SUM($C$26:I26),IF($AJ$7=9,SUM($C26:I26),IF($AJ$7=10,SUM($C26:I26)))))))))))</f>
        <v>0</v>
      </c>
      <c r="J27" s="26">
        <f>IF($AJ$7=0,0,IF($AJ$7=2,SUM(I26:J26),IF($AJ$7=3,SUM(H26:J26),IF($AJ$7=4,SUM(G26:J26),IF($AJ$7=5,SUM(F26:J26),IF($AJ$7=6,SUM(E26:J26),IF($AJ$7=7,SUM(D26:J26),IF($AJ$7=8,SUM($C$26:J26),IF($AJ$7=9,SUM($C26:J26),IF($AJ$7=10,SUM($C26:J26)))))))))))</f>
        <v>0</v>
      </c>
      <c r="K27" s="26">
        <f>IF($AJ$7=0,0,IF($AJ$7=2,SUM(J26:K26),IF($AJ$7=3,SUM(I26:K26),IF($AJ$7=4,SUM(H26:K26),IF($AJ$7=5,SUM(G26:K26),IF($AJ$7=6,SUM(F26:K26),IF($AJ$7=7,SUM(E26:K26),IF($AJ$7=8,SUM(D26:K26),IF($AJ$7=9,SUM($C26:K26),IF($AJ$7=10,SUM($C26:K26)))))))))))</f>
        <v>0</v>
      </c>
      <c r="L27" s="26">
        <f>IF($AJ$7=0,0,IF($AJ$7=2,SUM(K26:L26),IF($AJ$7=3,SUM(J26:L26),IF($AJ$7=4,SUM(I26:L26),IF($AJ$7=5,SUM(H26:L26),IF($AJ$7=6,SUM(G26:L26),IF($AJ$7=7,SUM(F26:L26),IF($AJ$7=8,SUM(E26:L26),IF($AJ$7=9,SUM(D26:L26),IF($AJ$7=10,SUM($C26:L26)))))))))))</f>
        <v>0</v>
      </c>
      <c r="M27" s="27">
        <f>IF($AJ$7=0,0,IF($AJ$7=2,SUM(L26:M26),IF($AJ$7=3,SUM(K26:M26),IF($AJ$7=4,SUM(J26:M26),IF($AJ$7=5,SUM(I26:M26),IF($AJ$7=6,SUM(H26:M26),IF($AJ$7=7,SUM(G26:M26),IF($AJ$7=8,SUM(F26:M26),IF($AJ$7=9,SUM(E26:M26),IF($AJ$7=10,SUM($C26:M26)))))))))))</f>
        <v>0</v>
      </c>
      <c r="N27" s="57">
        <v>4</v>
      </c>
      <c r="Q27" s="69" t="e">
        <f>+Q24</f>
        <v>#DIV/0!</v>
      </c>
      <c r="R27" s="69" t="e">
        <f>+Q27</f>
        <v>#DIV/0!</v>
      </c>
      <c r="S27" s="69"/>
      <c r="T27" s="69"/>
      <c r="U27" s="69"/>
      <c r="V27" s="69"/>
      <c r="W27" s="69"/>
      <c r="X27" s="69"/>
      <c r="Y27" s="69"/>
      <c r="Z27" s="69"/>
      <c r="AA27" s="69"/>
      <c r="AI27" s="86"/>
    </row>
    <row r="28" spans="1:59" hidden="1" x14ac:dyDescent="0.2">
      <c r="A28" s="83"/>
      <c r="B28" s="3"/>
      <c r="C28" s="26">
        <f t="shared" ref="C28:M28" si="20">C25/$AJ$10</f>
        <v>5</v>
      </c>
      <c r="D28" s="26">
        <f t="shared" si="20"/>
        <v>5.6000000000000005</v>
      </c>
      <c r="E28" s="26">
        <f t="shared" si="20"/>
        <v>6.2720000000000011</v>
      </c>
      <c r="F28" s="26">
        <f t="shared" si="20"/>
        <v>7.0246400000000015</v>
      </c>
      <c r="G28" s="26">
        <f t="shared" si="20"/>
        <v>7.8675968000000021</v>
      </c>
      <c r="H28" s="26">
        <f t="shared" si="20"/>
        <v>8.8117084160000037</v>
      </c>
      <c r="I28" s="26">
        <f t="shared" si="20"/>
        <v>9.8691134259200037</v>
      </c>
      <c r="J28" s="26">
        <f t="shared" si="20"/>
        <v>11.053407037030404</v>
      </c>
      <c r="K28" s="26">
        <f t="shared" si="20"/>
        <v>12.379815881474054</v>
      </c>
      <c r="L28" s="26">
        <f t="shared" si="20"/>
        <v>13.865393787250943</v>
      </c>
      <c r="M28" s="27">
        <f t="shared" si="20"/>
        <v>15.529241041721058</v>
      </c>
      <c r="N28" s="57">
        <v>5</v>
      </c>
      <c r="R28" s="69" t="e">
        <f>+R24</f>
        <v>#DIV/0!</v>
      </c>
      <c r="S28" s="69" t="e">
        <f>+R28</f>
        <v>#DIV/0!</v>
      </c>
      <c r="T28" s="69" t="e">
        <f t="shared" ref="T28:AA33" si="21">+S28</f>
        <v>#DIV/0!</v>
      </c>
      <c r="U28" s="69" t="e">
        <f t="shared" si="21"/>
        <v>#DIV/0!</v>
      </c>
      <c r="V28" s="69" t="e">
        <f t="shared" si="21"/>
        <v>#DIV/0!</v>
      </c>
      <c r="W28" s="69" t="e">
        <f>+V28</f>
        <v>#DIV/0!</v>
      </c>
      <c r="X28" s="69" t="e">
        <f t="shared" si="19"/>
        <v>#DIV/0!</v>
      </c>
      <c r="Y28" s="69" t="e">
        <f t="shared" si="19"/>
        <v>#DIV/0!</v>
      </c>
      <c r="Z28" s="69" t="e">
        <f t="shared" si="19"/>
        <v>#DIV/0!</v>
      </c>
      <c r="AA28" s="69" t="e">
        <f t="shared" si="19"/>
        <v>#DIV/0!</v>
      </c>
    </row>
    <row r="29" spans="1:59" x14ac:dyDescent="0.2">
      <c r="A29" s="83"/>
      <c r="B29" s="3" t="str">
        <f>" - Amortization of "&amp;B6</f>
        <v xml:space="preserve"> - Amortization of Sales &amp; Marketing</v>
      </c>
      <c r="C29" s="26">
        <f>IF(AJ10=0,0,(C25/$AJ$10))</f>
        <v>5</v>
      </c>
      <c r="D29" s="26">
        <f>IF($AJ$10=0,0,IF($AJ$10=2,SUM($C28:D28),IF($AJ$10=3,SUM($C28:D28),IF($AJ$10=4,SUM($C28:D28),IF($AJ$10=5,SUM($C28:D28),IF($AJ$10=6,SUM($C28:D28),IF($AJ$10=7,SUM($C28:D28),IF($AJ$10=8,SUM($C$26:D28),IF($AJ$10=9,SUM($C28:D28),IF($AJ$10=10,SUM($C28:D28)))))))))))</f>
        <v>10.600000000000001</v>
      </c>
      <c r="E29" s="26">
        <f>IF($AJ$10=0,0,IF($AJ$10=2,SUM(D28:E28),IF($AJ$10=3,SUM($C28:E28),IF($AJ$10=4,SUM($C28:E28),IF($AJ$10=5,SUM($C28:E28),IF($AJ$10=6,SUM($C28:E28),IF($AJ$10=7,SUM($C28:E28),IF($AJ$10=8,SUM($C$26:E28),IF($AJ$10=9,SUM($C28:E28),IF($AJ$10=10,SUM($C28:E28)))))))))))</f>
        <v>16.872000000000003</v>
      </c>
      <c r="F29" s="26">
        <f>IF($AJ$10=0,0,IF($AJ$10=2,SUM(E28:F28),IF($AJ$10=3,SUM(D28:F28),IF($AJ$10=4,SUM($C28:F28),IF($AJ$10=5,SUM($C28:F28),IF($AJ$10=6,SUM($C28:F28),IF($AJ$10=7,SUM($C28:F28),IF($AJ$10=8,SUM($C$26:F28),IF($AJ$10=9,SUM($C28:F28),IF($AJ$10=10,SUM($C28:F28)))))))))))</f>
        <v>18.896640000000005</v>
      </c>
      <c r="G29" s="26">
        <f>IF($AJ$10=0,0,IF($AJ$10=2,SUM(F28:G28),IF($AJ$10=3,SUM(E28:G28),IF($AJ$10=4,SUM(D28:G28),IF($AJ$10=5,SUM($C28:G28),IF($AJ$10=6,SUM($C28:G28),IF($AJ$10=7,SUM($C28:G28),IF($AJ$10=8,SUM($C$26:G28),IF($AJ$10=9,SUM($C28:G28),IF($AJ$10=10,SUM($C28:G28)))))))))))</f>
        <v>21.164236800000005</v>
      </c>
      <c r="H29" s="26">
        <f>IF($AJ$10=0,0,IF($AJ$10=2,SUM(G28:H28),IF($AJ$10=3,SUM(F28:H28),IF($AJ$10=4,SUM(E28:H28),IF($AJ$10=5,SUM(D28:H28),IF($AJ$10=6,SUM($C28:H28),IF($AJ$10=7,SUM($C28:H28),IF($AJ$10=8,SUM($C$26:H28),IF($AJ$10=9,SUM($C28:H28),IF($AJ$10=10,SUM($C28:H28)))))))))))</f>
        <v>23.703945216000008</v>
      </c>
      <c r="I29" s="26">
        <f>IF($AJ$10=0,0,IF($AJ$10=2,SUM(H28:I28),IF($AJ$10=3,SUM(G28:I28),IF($AJ$10=4,SUM(F28:I28),IF($AJ$10=5,SUM(E28:I28),IF($AJ$10=6,SUM(D28:I28),IF($AJ$10=7,SUM($C28:I28),IF($AJ$10=8,SUM($C$26:I28),IF($AJ$10=9,SUM($C28:I28),IF($AJ$10=10,SUM($C28:I28)))))))))))</f>
        <v>26.548418641920009</v>
      </c>
      <c r="J29" s="26">
        <f>IF($AJ$10=0,0,IF($AJ$10=2,SUM(I28:J28),IF($AJ$10=3,SUM(H28:J28),IF($AJ$10=4,SUM(G28:J28),IF($AJ$10=5,SUM(F28:J28),IF($AJ$10=6,SUM(E28:J28),IF($AJ$10=7,SUM(D28:J28),IF($AJ$10=8,SUM($C$26:J28),IF($AJ$10=9,SUM($C28:J28),IF($AJ$10=10,SUM($C28:J28)))))))))))</f>
        <v>29.734228878950411</v>
      </c>
      <c r="K29" s="26">
        <f>IF($AJ$10=0,0,IF($AJ$10=2,SUM(J28:K28),IF($AJ$10=3,SUM(I28:K28),IF($AJ$10=4,SUM(H28:K28),IF($AJ$10=5,SUM(G28:K28),IF($AJ$10=6,SUM(F28:K28),IF($AJ$10=7,SUM(E28:K28),IF($AJ$10=8,SUM(D28:K28),IF($AJ$10=9,SUM($C28:K28),IF($AJ$10=10,SUM($C28:K28)))))))))))</f>
        <v>33.302336344424461</v>
      </c>
      <c r="L29" s="26">
        <f>IF($AJ$10=0,0,IF($AJ$10=2,SUM(K28:L28),IF($AJ$10=3,SUM(J28:L28),IF($AJ$10=4,SUM(I28:L28),IF($AJ$10=5,SUM(H28:L28),IF($AJ$10=6,SUM(G28:L28),IF($AJ$10=7,SUM(F28:L28),IF($AJ$10=8,SUM(E28:L28),IF($AJ$10=9,SUM(D28:L28),IF($AJ$10=10,SUM($C28:L28)))))))))))</f>
        <v>37.2986167057554</v>
      </c>
      <c r="M29" s="27">
        <f>IF($AJ$10=0,0,IF($AJ$10=2,SUM(L28:M28),IF($AJ$10=3,SUM(K28:M28),IF($AJ$10=4,SUM(J28:M28),IF($AJ$10=5,SUM(I28:M28),IF($AJ$10=6,SUM(H28:M28),IF($AJ$10=7,SUM(G28:M28),IF($AJ$10=8,SUM(F28:M28),IF($AJ$10=9,SUM(E28:M28),IF($AJ$10=10,SUM($C28:M28)))))))))))</f>
        <v>41.774450710446054</v>
      </c>
      <c r="S29" s="69" t="e">
        <f>+S24</f>
        <v>#DIV/0!</v>
      </c>
      <c r="T29" s="69" t="e">
        <f>+S29</f>
        <v>#DIV/0!</v>
      </c>
      <c r="U29" s="69" t="e">
        <f t="shared" si="21"/>
        <v>#DIV/0!</v>
      </c>
      <c r="V29" s="69" t="e">
        <f t="shared" si="21"/>
        <v>#DIV/0!</v>
      </c>
      <c r="W29" s="69" t="e">
        <f t="shared" si="21"/>
        <v>#DIV/0!</v>
      </c>
      <c r="X29" s="69" t="e">
        <f>+W29</f>
        <v>#DIV/0!</v>
      </c>
      <c r="Y29" s="69" t="e">
        <f t="shared" si="19"/>
        <v>#DIV/0!</v>
      </c>
      <c r="Z29" s="69" t="e">
        <f t="shared" si="19"/>
        <v>#DIV/0!</v>
      </c>
      <c r="AA29" s="69" t="e">
        <f t="shared" si="19"/>
        <v>#DIV/0!</v>
      </c>
      <c r="AB29" s="69" t="e">
        <f t="shared" si="19"/>
        <v>#DIV/0!</v>
      </c>
      <c r="AI29" s="86"/>
    </row>
    <row r="30" spans="1:59" x14ac:dyDescent="0.2">
      <c r="A30" s="83"/>
      <c r="B30" s="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T30" s="69" t="e">
        <f>+T24</f>
        <v>#DIV/0!</v>
      </c>
      <c r="U30" s="69" t="e">
        <f>+T30</f>
        <v>#DIV/0!</v>
      </c>
      <c r="V30" s="69" t="e">
        <f t="shared" si="21"/>
        <v>#DIV/0!</v>
      </c>
      <c r="W30" s="69" t="e">
        <f t="shared" si="21"/>
        <v>#DIV/0!</v>
      </c>
      <c r="X30" s="69" t="e">
        <f t="shared" si="21"/>
        <v>#DIV/0!</v>
      </c>
      <c r="Y30" s="69" t="e">
        <f>+X30</f>
        <v>#DIV/0!</v>
      </c>
      <c r="Z30" s="69" t="e">
        <f t="shared" si="19"/>
        <v>#DIV/0!</v>
      </c>
      <c r="AA30" s="69" t="e">
        <f t="shared" si="19"/>
        <v>#DIV/0!</v>
      </c>
      <c r="AB30" s="69" t="e">
        <f t="shared" si="19"/>
        <v>#DIV/0!</v>
      </c>
      <c r="AC30" s="69" t="e">
        <f t="shared" si="19"/>
        <v>#DIV/0!</v>
      </c>
      <c r="AI30" s="86"/>
    </row>
    <row r="31" spans="1:59" x14ac:dyDescent="0.2">
      <c r="A31" s="83"/>
      <c r="B31" s="3" t="str">
        <f>"Capitalized "&amp;B5&amp;" Asset"</f>
        <v>Capitalized R&amp;D Asset</v>
      </c>
      <c r="C31" s="26">
        <f>IF(AJ7=0,0,(C24-C27))</f>
        <v>0</v>
      </c>
      <c r="D31" s="26">
        <f>IF(AJ7=0,0,(C31+D24-D27))</f>
        <v>0</v>
      </c>
      <c r="E31" s="26">
        <f>IF(AJ7=0,0,(D31+E24-E27))</f>
        <v>0</v>
      </c>
      <c r="F31" s="26">
        <f>IF(AJ7=0,0,(E31+F24-F27))</f>
        <v>0</v>
      </c>
      <c r="G31" s="26">
        <f>IF(AJ7=0,0,(F31+G24-G27))</f>
        <v>0</v>
      </c>
      <c r="H31" s="26">
        <f>IF(AJ7=0,0,(G31+H24-H27))</f>
        <v>0</v>
      </c>
      <c r="I31" s="26">
        <f>IF(AJ7=0,0,(H31+I24-I27))</f>
        <v>0</v>
      </c>
      <c r="J31" s="26">
        <f>IF(AJ7=0,0,(I31+J24-J27))</f>
        <v>0</v>
      </c>
      <c r="K31" s="26">
        <f>IF(AJ7=0,0,(J31+K24-K27))</f>
        <v>0</v>
      </c>
      <c r="L31" s="26">
        <f>IF(AJ7=0,0,(K31+L24-L27))</f>
        <v>0</v>
      </c>
      <c r="M31" s="27">
        <f>IF(AJ7=0,0,(L31+M24-M27))</f>
        <v>0</v>
      </c>
      <c r="U31" s="69" t="e">
        <f>+U24</f>
        <v>#DIV/0!</v>
      </c>
      <c r="V31" s="69" t="e">
        <f>+U31</f>
        <v>#DIV/0!</v>
      </c>
      <c r="W31" s="69" t="e">
        <f t="shared" si="21"/>
        <v>#DIV/0!</v>
      </c>
      <c r="X31" s="69" t="e">
        <f t="shared" si="21"/>
        <v>#DIV/0!</v>
      </c>
      <c r="Y31" s="69" t="e">
        <f t="shared" si="21"/>
        <v>#DIV/0!</v>
      </c>
      <c r="Z31" s="69" t="e">
        <f>+Y31</f>
        <v>#DIV/0!</v>
      </c>
      <c r="AA31" s="69" t="e">
        <f t="shared" si="19"/>
        <v>#DIV/0!</v>
      </c>
      <c r="AB31" s="69" t="e">
        <f t="shared" si="19"/>
        <v>#DIV/0!</v>
      </c>
      <c r="AC31" s="69" t="e">
        <f t="shared" si="19"/>
        <v>#DIV/0!</v>
      </c>
      <c r="AD31" s="69" t="e">
        <f t="shared" si="19"/>
        <v>#DIV/0!</v>
      </c>
      <c r="AU31" s="13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9" x14ac:dyDescent="0.2">
      <c r="A32" s="83"/>
      <c r="B32" s="3" t="str">
        <f>"Capitalized "&amp;B6&amp;" Asset"</f>
        <v>Capitalized Sales &amp; Marketing Asset</v>
      </c>
      <c r="C32" s="26">
        <f>IF($AJ$10=0,0,(C25-C29))</f>
        <v>10</v>
      </c>
      <c r="D32" s="26">
        <f>IF($AJ$10=0,0,(C32+D25-D29))</f>
        <v>16.2</v>
      </c>
      <c r="E32" s="26">
        <f t="shared" ref="E32:M32" si="22">IF($AJ$10=0,0,(D32+E25-E29))</f>
        <v>18.144000000000002</v>
      </c>
      <c r="F32" s="26">
        <f t="shared" si="22"/>
        <v>20.321280000000002</v>
      </c>
      <c r="G32" s="26">
        <f t="shared" si="22"/>
        <v>22.7598336</v>
      </c>
      <c r="H32" s="26">
        <f t="shared" si="22"/>
        <v>25.491013632000005</v>
      </c>
      <c r="I32" s="26">
        <f t="shared" si="22"/>
        <v>28.549935267840006</v>
      </c>
      <c r="J32" s="26">
        <f t="shared" si="22"/>
        <v>31.975927499980806</v>
      </c>
      <c r="K32" s="26">
        <f t="shared" si="22"/>
        <v>35.813038799978514</v>
      </c>
      <c r="L32" s="26">
        <f t="shared" si="22"/>
        <v>40.110603455975941</v>
      </c>
      <c r="M32" s="27">
        <f t="shared" si="22"/>
        <v>44.92387587069306</v>
      </c>
      <c r="V32" s="69" t="e">
        <f>+V24</f>
        <v>#DIV/0!</v>
      </c>
      <c r="W32" s="69" t="e">
        <f>+V32</f>
        <v>#DIV/0!</v>
      </c>
      <c r="X32" s="69" t="e">
        <f t="shared" si="21"/>
        <v>#DIV/0!</v>
      </c>
      <c r="Y32" s="69" t="e">
        <f t="shared" si="21"/>
        <v>#DIV/0!</v>
      </c>
      <c r="Z32" s="69" t="e">
        <f t="shared" si="21"/>
        <v>#DIV/0!</v>
      </c>
      <c r="AA32" s="69" t="e">
        <f>+Z32</f>
        <v>#DIV/0!</v>
      </c>
      <c r="AB32" s="69" t="e">
        <f t="shared" si="19"/>
        <v>#DIV/0!</v>
      </c>
      <c r="AC32" s="69" t="e">
        <f t="shared" si="19"/>
        <v>#DIV/0!</v>
      </c>
      <c r="AD32" s="69" t="e">
        <f t="shared" si="19"/>
        <v>#DIV/0!</v>
      </c>
      <c r="AE32" s="69" t="e">
        <f t="shared" si="19"/>
        <v>#DIV/0!</v>
      </c>
      <c r="AU32" s="16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x14ac:dyDescent="0.2">
      <c r="A33" s="84"/>
      <c r="B33" s="3" t="s">
        <v>9</v>
      </c>
      <c r="C33" s="26">
        <f>SUM(C31:C32)</f>
        <v>10</v>
      </c>
      <c r="D33" s="26">
        <f t="shared" ref="D33:M33" si="23">SUM(D31:D32)</f>
        <v>16.2</v>
      </c>
      <c r="E33" s="26">
        <f t="shared" si="23"/>
        <v>18.144000000000002</v>
      </c>
      <c r="F33" s="26">
        <f t="shared" si="23"/>
        <v>20.321280000000002</v>
      </c>
      <c r="G33" s="26">
        <f t="shared" si="23"/>
        <v>22.7598336</v>
      </c>
      <c r="H33" s="26">
        <f t="shared" si="23"/>
        <v>25.491013632000005</v>
      </c>
      <c r="I33" s="26">
        <f t="shared" si="23"/>
        <v>28.549935267840006</v>
      </c>
      <c r="J33" s="26">
        <f t="shared" si="23"/>
        <v>31.975927499980806</v>
      </c>
      <c r="K33" s="26">
        <f t="shared" si="23"/>
        <v>35.813038799978514</v>
      </c>
      <c r="L33" s="26">
        <f t="shared" si="23"/>
        <v>40.110603455975941</v>
      </c>
      <c r="M33" s="27">
        <f t="shared" si="23"/>
        <v>44.92387587069306</v>
      </c>
      <c r="W33" s="69" t="e">
        <f>+W$24</f>
        <v>#DIV/0!</v>
      </c>
      <c r="X33" s="69" t="e">
        <f>+W33</f>
        <v>#DIV/0!</v>
      </c>
      <c r="Y33" s="69" t="e">
        <f t="shared" si="21"/>
        <v>#DIV/0!</v>
      </c>
      <c r="Z33" s="69" t="e">
        <f t="shared" si="21"/>
        <v>#DIV/0!</v>
      </c>
      <c r="AA33" s="69" t="e">
        <f t="shared" si="21"/>
        <v>#DIV/0!</v>
      </c>
      <c r="AB33" s="69" t="e">
        <f>+AA33</f>
        <v>#DIV/0!</v>
      </c>
      <c r="AC33" s="69" t="e">
        <f t="shared" si="19"/>
        <v>#DIV/0!</v>
      </c>
      <c r="AD33" s="69" t="e">
        <f t="shared" si="19"/>
        <v>#DIV/0!</v>
      </c>
      <c r="AE33" s="69" t="e">
        <f t="shared" si="19"/>
        <v>#DIV/0!</v>
      </c>
      <c r="AF33" s="69" t="e">
        <f t="shared" si="19"/>
        <v>#DIV/0!</v>
      </c>
      <c r="AU33" s="18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1:58" x14ac:dyDescent="0.2">
      <c r="A34" s="84"/>
      <c r="B34" s="3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33"/>
      <c r="AU34" s="18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1:58" x14ac:dyDescent="0.2">
      <c r="A35" s="82"/>
      <c r="B35" s="52" t="s">
        <v>31</v>
      </c>
      <c r="C35" s="43">
        <f>IF(AND($AJ$7=0,$AJ$10=0),C23,IF($AJ$7=0,C23+C25-C27-C29,IF($AJ$10=0,C23+C24-C27-C29,C23+C24+C25-C27-C29)))</f>
        <v>35</v>
      </c>
      <c r="D35" s="43">
        <f t="shared" ref="D35:AH35" si="24">IF(AND($AJ$7=0,$AJ$10=0),D23,IF($AJ$7=0,D23+D25-D27-D29,IF($AJ$10=0,D23+D24-D27-D29,D23+D24+D25-D27-D29)))</f>
        <v>34.199999999999996</v>
      </c>
      <c r="E35" s="43">
        <f t="shared" si="24"/>
        <v>33.304000000000002</v>
      </c>
      <c r="F35" s="43">
        <f t="shared" si="24"/>
        <v>37.300480000000007</v>
      </c>
      <c r="G35" s="43">
        <f t="shared" si="24"/>
        <v>41.776537600000005</v>
      </c>
      <c r="H35" s="43">
        <f t="shared" si="24"/>
        <v>46.789722111999993</v>
      </c>
      <c r="I35" s="43">
        <f t="shared" si="24"/>
        <v>52.404488765440007</v>
      </c>
      <c r="J35" s="43">
        <f t="shared" si="24"/>
        <v>58.693027417292818</v>
      </c>
      <c r="K35" s="43">
        <f t="shared" si="24"/>
        <v>65.736190707367996</v>
      </c>
      <c r="L35" s="43">
        <f t="shared" si="24"/>
        <v>73.624533592252135</v>
      </c>
      <c r="M35" s="43">
        <f t="shared" si="24"/>
        <v>82.459477623322414</v>
      </c>
      <c r="N35" s="43">
        <f t="shared" si="24"/>
        <v>-2</v>
      </c>
      <c r="O35" s="43" t="e">
        <f t="shared" si="24"/>
        <v>#DIV/0!</v>
      </c>
      <c r="P35" s="43" t="e">
        <f t="shared" si="24"/>
        <v>#DIV/0!</v>
      </c>
      <c r="Q35" s="43" t="e">
        <f t="shared" si="24"/>
        <v>#DIV/0!</v>
      </c>
      <c r="R35" s="43" t="e">
        <f t="shared" si="24"/>
        <v>#DIV/0!</v>
      </c>
      <c r="S35" s="43" t="e">
        <f t="shared" si="24"/>
        <v>#DIV/0!</v>
      </c>
      <c r="T35" s="43" t="e">
        <f t="shared" si="24"/>
        <v>#DIV/0!</v>
      </c>
      <c r="U35" s="43" t="e">
        <f t="shared" si="24"/>
        <v>#DIV/0!</v>
      </c>
      <c r="V35" s="43" t="e">
        <f t="shared" si="24"/>
        <v>#DIV/0!</v>
      </c>
      <c r="W35" s="43" t="e">
        <f t="shared" si="24"/>
        <v>#DIV/0!</v>
      </c>
      <c r="X35" s="43" t="e">
        <f t="shared" si="24"/>
        <v>#DIV/0!</v>
      </c>
      <c r="Y35" s="43" t="e">
        <f t="shared" si="24"/>
        <v>#DIV/0!</v>
      </c>
      <c r="Z35" s="43" t="e">
        <f t="shared" si="24"/>
        <v>#DIV/0!</v>
      </c>
      <c r="AA35" s="43" t="e">
        <f t="shared" si="24"/>
        <v>#DIV/0!</v>
      </c>
      <c r="AB35" s="43" t="e">
        <f t="shared" si="24"/>
        <v>#DIV/0!</v>
      </c>
      <c r="AC35" s="43">
        <f t="shared" si="24"/>
        <v>0</v>
      </c>
      <c r="AD35" s="43">
        <f t="shared" si="24"/>
        <v>0</v>
      </c>
      <c r="AE35" s="43">
        <f t="shared" si="24"/>
        <v>0</v>
      </c>
      <c r="AF35" s="43">
        <f t="shared" si="24"/>
        <v>0</v>
      </c>
      <c r="AG35" s="43">
        <f t="shared" si="24"/>
        <v>0</v>
      </c>
      <c r="AH35" s="43">
        <f t="shared" si="24"/>
        <v>0</v>
      </c>
      <c r="AU35" s="19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1:58" x14ac:dyDescent="0.2">
      <c r="A36" s="82">
        <v>0.33</v>
      </c>
      <c r="B36" s="3" t="s">
        <v>6</v>
      </c>
      <c r="C36" s="26">
        <f t="shared" ref="C36:M36" si="25">C$7*$A36</f>
        <v>8.25</v>
      </c>
      <c r="D36" s="26">
        <f t="shared" si="25"/>
        <v>9.24</v>
      </c>
      <c r="E36" s="26">
        <f t="shared" si="25"/>
        <v>10.348800000000001</v>
      </c>
      <c r="F36" s="26">
        <f t="shared" si="25"/>
        <v>11.590656000000005</v>
      </c>
      <c r="G36" s="26">
        <f t="shared" si="25"/>
        <v>12.981534720000003</v>
      </c>
      <c r="H36" s="26">
        <f t="shared" si="25"/>
        <v>14.539318886399998</v>
      </c>
      <c r="I36" s="26">
        <f t="shared" si="25"/>
        <v>16.284037152768001</v>
      </c>
      <c r="J36" s="26">
        <f t="shared" si="25"/>
        <v>18.238121611100169</v>
      </c>
      <c r="K36" s="26">
        <f t="shared" si="25"/>
        <v>20.426696204432197</v>
      </c>
      <c r="L36" s="26">
        <f t="shared" si="25"/>
        <v>22.877899748964051</v>
      </c>
      <c r="M36" s="27">
        <f t="shared" si="25"/>
        <v>25.62324771883975</v>
      </c>
      <c r="AU36" s="62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</row>
    <row r="37" spans="1:58" x14ac:dyDescent="0.2">
      <c r="A37" s="75"/>
      <c r="B37" s="52" t="s">
        <v>7</v>
      </c>
      <c r="C37" s="43">
        <f>C35-C36</f>
        <v>26.75</v>
      </c>
      <c r="D37" s="43">
        <f t="shared" ref="D37:M37" si="26">D35-D36</f>
        <v>24.959999999999994</v>
      </c>
      <c r="E37" s="43">
        <f t="shared" si="26"/>
        <v>22.955200000000001</v>
      </c>
      <c r="F37" s="43">
        <f t="shared" si="26"/>
        <v>25.709824000000005</v>
      </c>
      <c r="G37" s="43">
        <f t="shared" si="26"/>
        <v>28.795002880000002</v>
      </c>
      <c r="H37" s="43">
        <f t="shared" si="26"/>
        <v>32.250403225599996</v>
      </c>
      <c r="I37" s="43">
        <f t="shared" si="26"/>
        <v>36.120451612672007</v>
      </c>
      <c r="J37" s="43">
        <f t="shared" si="26"/>
        <v>40.454905806192649</v>
      </c>
      <c r="K37" s="43">
        <f t="shared" si="26"/>
        <v>45.309494502935799</v>
      </c>
      <c r="L37" s="43">
        <f t="shared" si="26"/>
        <v>50.74663384328808</v>
      </c>
      <c r="M37" s="44">
        <f t="shared" si="26"/>
        <v>56.836229904482664</v>
      </c>
      <c r="AU37" s="18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x14ac:dyDescent="0.2">
      <c r="A38" s="75"/>
      <c r="B38" s="3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33"/>
      <c r="AU38" s="18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1:58" x14ac:dyDescent="0.2">
      <c r="A39" s="75"/>
      <c r="B39" s="3" t="s">
        <v>10</v>
      </c>
      <c r="C39" s="26">
        <f t="shared" ref="C39:M39" si="27">C15</f>
        <v>237</v>
      </c>
      <c r="D39" s="26">
        <f t="shared" si="27"/>
        <v>258.33000000000004</v>
      </c>
      <c r="E39" s="26">
        <f t="shared" si="27"/>
        <v>281.57970000000006</v>
      </c>
      <c r="F39" s="26">
        <f t="shared" si="27"/>
        <v>306.92187300000006</v>
      </c>
      <c r="G39" s="26">
        <f t="shared" si="27"/>
        <v>334.54484157000007</v>
      </c>
      <c r="H39" s="26">
        <f t="shared" si="27"/>
        <v>364.65387731130011</v>
      </c>
      <c r="I39" s="26">
        <f t="shared" si="27"/>
        <v>397.47272626931715</v>
      </c>
      <c r="J39" s="26">
        <f t="shared" si="27"/>
        <v>433.24527163355572</v>
      </c>
      <c r="K39" s="26">
        <f t="shared" si="27"/>
        <v>472.23734608057578</v>
      </c>
      <c r="L39" s="26">
        <f t="shared" si="27"/>
        <v>514.7387072278276</v>
      </c>
      <c r="M39" s="27">
        <f t="shared" si="27"/>
        <v>561.06519087833215</v>
      </c>
      <c r="AU39" s="18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1:58" x14ac:dyDescent="0.2">
      <c r="A40" s="75"/>
      <c r="B40" s="3" t="str">
        <f t="shared" ref="B40:M40" si="28">B33</f>
        <v>Total Capitalized Assets</v>
      </c>
      <c r="C40" s="26">
        <f t="shared" si="28"/>
        <v>10</v>
      </c>
      <c r="D40" s="26">
        <f t="shared" si="28"/>
        <v>16.2</v>
      </c>
      <c r="E40" s="26">
        <f t="shared" si="28"/>
        <v>18.144000000000002</v>
      </c>
      <c r="F40" s="26">
        <f t="shared" si="28"/>
        <v>20.321280000000002</v>
      </c>
      <c r="G40" s="26">
        <f t="shared" si="28"/>
        <v>22.7598336</v>
      </c>
      <c r="H40" s="26">
        <f t="shared" si="28"/>
        <v>25.491013632000005</v>
      </c>
      <c r="I40" s="26">
        <f t="shared" si="28"/>
        <v>28.549935267840006</v>
      </c>
      <c r="J40" s="26">
        <f t="shared" si="28"/>
        <v>31.975927499980806</v>
      </c>
      <c r="K40" s="26">
        <f t="shared" si="28"/>
        <v>35.813038799978514</v>
      </c>
      <c r="L40" s="26">
        <f t="shared" si="28"/>
        <v>40.110603455975941</v>
      </c>
      <c r="M40" s="27">
        <f t="shared" si="28"/>
        <v>44.92387587069306</v>
      </c>
      <c r="O40" s="69" t="e">
        <f t="shared" ref="O40:Y40" si="29">SUM(O25:O38)</f>
        <v>#DIV/0!</v>
      </c>
      <c r="P40" s="69" t="e">
        <f t="shared" si="29"/>
        <v>#DIV/0!</v>
      </c>
      <c r="Q40" s="69" t="e">
        <f t="shared" si="29"/>
        <v>#DIV/0!</v>
      </c>
      <c r="R40" s="69" t="e">
        <f t="shared" si="29"/>
        <v>#DIV/0!</v>
      </c>
      <c r="S40" s="69" t="e">
        <f t="shared" si="29"/>
        <v>#DIV/0!</v>
      </c>
      <c r="T40" s="69" t="e">
        <f t="shared" si="29"/>
        <v>#DIV/0!</v>
      </c>
      <c r="U40" s="69" t="e">
        <f t="shared" si="29"/>
        <v>#DIV/0!</v>
      </c>
      <c r="V40" s="69" t="e">
        <f t="shared" si="29"/>
        <v>#DIV/0!</v>
      </c>
      <c r="W40" s="69" t="e">
        <f t="shared" si="29"/>
        <v>#DIV/0!</v>
      </c>
      <c r="X40" s="69" t="e">
        <f t="shared" si="29"/>
        <v>#DIV/0!</v>
      </c>
      <c r="Y40" s="69" t="e">
        <f t="shared" si="29"/>
        <v>#DIV/0!</v>
      </c>
      <c r="AU40" s="19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1:58" x14ac:dyDescent="0.2">
      <c r="A41" s="75"/>
      <c r="B41" s="52" t="str">
        <f>"Invested Capital Plus "&amp;B40</f>
        <v>Invested Capital Plus Total Capitalized Assets</v>
      </c>
      <c r="C41" s="43">
        <f>C40+C39</f>
        <v>247</v>
      </c>
      <c r="D41" s="43">
        <f t="shared" ref="D41:M41" si="30">D40+D39</f>
        <v>274.53000000000003</v>
      </c>
      <c r="E41" s="43">
        <f t="shared" si="30"/>
        <v>299.72370000000006</v>
      </c>
      <c r="F41" s="43">
        <f t="shared" si="30"/>
        <v>327.24315300000006</v>
      </c>
      <c r="G41" s="43">
        <f t="shared" si="30"/>
        <v>357.30467517000005</v>
      </c>
      <c r="H41" s="43">
        <f t="shared" si="30"/>
        <v>390.14489094330008</v>
      </c>
      <c r="I41" s="43">
        <f t="shared" si="30"/>
        <v>426.02266153715715</v>
      </c>
      <c r="J41" s="43">
        <f t="shared" si="30"/>
        <v>465.22119913353652</v>
      </c>
      <c r="K41" s="43">
        <f t="shared" si="30"/>
        <v>508.0503848805543</v>
      </c>
      <c r="L41" s="43">
        <f t="shared" si="30"/>
        <v>554.84931068380354</v>
      </c>
      <c r="M41" s="44">
        <f t="shared" si="30"/>
        <v>605.98906674902526</v>
      </c>
      <c r="O41" s="69" t="e">
        <f t="shared" ref="O41:Y41" si="31">+O40-C29</f>
        <v>#DIV/0!</v>
      </c>
      <c r="P41" s="69" t="e">
        <f t="shared" si="31"/>
        <v>#DIV/0!</v>
      </c>
      <c r="Q41" s="69" t="e">
        <f t="shared" si="31"/>
        <v>#DIV/0!</v>
      </c>
      <c r="R41" s="69" t="e">
        <f t="shared" si="31"/>
        <v>#DIV/0!</v>
      </c>
      <c r="S41" s="69" t="e">
        <f t="shared" si="31"/>
        <v>#DIV/0!</v>
      </c>
      <c r="T41" s="69" t="e">
        <f t="shared" si="31"/>
        <v>#DIV/0!</v>
      </c>
      <c r="U41" s="69" t="e">
        <f t="shared" si="31"/>
        <v>#DIV/0!</v>
      </c>
      <c r="V41" s="69" t="e">
        <f t="shared" si="31"/>
        <v>#DIV/0!</v>
      </c>
      <c r="W41" s="69" t="e">
        <f t="shared" si="31"/>
        <v>#DIV/0!</v>
      </c>
      <c r="X41" s="69" t="e">
        <f t="shared" si="31"/>
        <v>#DIV/0!</v>
      </c>
      <c r="Y41" s="69" t="e">
        <f t="shared" si="31"/>
        <v>#DIV/0!</v>
      </c>
      <c r="AU41" s="18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1:58" x14ac:dyDescent="0.2">
      <c r="A42" s="75"/>
      <c r="B42" s="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  <c r="AU42" s="18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1:58" x14ac:dyDescent="0.2">
      <c r="A43" s="75"/>
      <c r="B43" s="52" t="s">
        <v>30</v>
      </c>
      <c r="C43" s="53">
        <f>C37/C41</f>
        <v>0.1082995951417004</v>
      </c>
      <c r="D43" s="53">
        <f t="shared" ref="D43:M43" si="32">D37/D41</f>
        <v>9.0919025243142798E-2</v>
      </c>
      <c r="E43" s="53">
        <f t="shared" si="32"/>
        <v>7.6587870762305402E-2</v>
      </c>
      <c r="F43" s="53">
        <f t="shared" si="32"/>
        <v>7.8564895137775426E-2</v>
      </c>
      <c r="G43" s="53">
        <f t="shared" si="32"/>
        <v>8.0589493731924394E-2</v>
      </c>
      <c r="H43" s="53">
        <f t="shared" si="32"/>
        <v>8.2662631176905407E-2</v>
      </c>
      <c r="I43" s="53">
        <f t="shared" si="32"/>
        <v>8.4785282271942305E-2</v>
      </c>
      <c r="J43" s="53">
        <f t="shared" si="32"/>
        <v>8.6958431562316918E-2</v>
      </c>
      <c r="K43" s="53">
        <f t="shared" si="32"/>
        <v>8.9183072882797504E-2</v>
      </c>
      <c r="L43" s="53">
        <f t="shared" si="32"/>
        <v>9.1460208864182005E-2</v>
      </c>
      <c r="M43" s="54">
        <f t="shared" si="32"/>
        <v>9.3790850401632403E-2</v>
      </c>
      <c r="AU43" s="19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x14ac:dyDescent="0.2">
      <c r="A44" s="75"/>
      <c r="B44" s="3" t="s">
        <v>14</v>
      </c>
      <c r="C44" s="4">
        <f t="shared" ref="C44:M44" si="33">(C43-$AJ$13)*C41</f>
        <v>9.4599999999999973</v>
      </c>
      <c r="D44" s="4">
        <f t="shared" si="33"/>
        <v>5.7428999999999908</v>
      </c>
      <c r="E44" s="4">
        <f t="shared" si="33"/>
        <v>1.9745409999999939</v>
      </c>
      <c r="F44" s="4">
        <f t="shared" si="33"/>
        <v>2.8028032899999982</v>
      </c>
      <c r="G44" s="4">
        <f t="shared" si="33"/>
        <v>3.7836756180999949</v>
      </c>
      <c r="H44" s="4">
        <f t="shared" si="33"/>
        <v>4.9402608595689887</v>
      </c>
      <c r="I44" s="4">
        <f t="shared" si="33"/>
        <v>6.2988653050710042</v>
      </c>
      <c r="J44" s="4">
        <f t="shared" si="33"/>
        <v>7.8894218668450868</v>
      </c>
      <c r="K44" s="4">
        <f t="shared" si="33"/>
        <v>9.7459675612969932</v>
      </c>
      <c r="L44" s="4">
        <f t="shared" si="33"/>
        <v>11.907182095421833</v>
      </c>
      <c r="M44" s="5">
        <f t="shared" si="33"/>
        <v>14.416995232050889</v>
      </c>
      <c r="AU44" s="19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</row>
    <row r="45" spans="1:58" x14ac:dyDescent="0.2">
      <c r="A45" s="75"/>
      <c r="B45" s="3" t="s">
        <v>15</v>
      </c>
      <c r="C45" s="37">
        <f t="shared" ref="C45:M45" si="34">C37/C3</f>
        <v>0.26750000000000002</v>
      </c>
      <c r="D45" s="37">
        <f t="shared" si="34"/>
        <v>0.22285714285714278</v>
      </c>
      <c r="E45" s="37">
        <f t="shared" si="34"/>
        <v>0.1829974489795918</v>
      </c>
      <c r="F45" s="37">
        <f t="shared" si="34"/>
        <v>0.1829974489795918</v>
      </c>
      <c r="G45" s="37">
        <f t="shared" si="34"/>
        <v>0.18299744897959178</v>
      </c>
      <c r="H45" s="37">
        <f t="shared" si="34"/>
        <v>0.18299744897959175</v>
      </c>
      <c r="I45" s="37">
        <f t="shared" si="34"/>
        <v>0.1829974489795918</v>
      </c>
      <c r="J45" s="37">
        <f t="shared" si="34"/>
        <v>0.1829974489795918</v>
      </c>
      <c r="K45" s="37">
        <f t="shared" si="34"/>
        <v>0.18299744897959191</v>
      </c>
      <c r="L45" s="37">
        <f t="shared" si="34"/>
        <v>0.18299744897959183</v>
      </c>
      <c r="M45" s="38">
        <f t="shared" si="34"/>
        <v>0.18299744897959186</v>
      </c>
      <c r="AU45" s="18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</row>
    <row r="46" spans="1:58" x14ac:dyDescent="0.2">
      <c r="A46" s="75"/>
      <c r="B46" s="3" t="s">
        <v>16</v>
      </c>
      <c r="C46" s="39">
        <f t="shared" ref="C46:M46" si="35">C3/C41</f>
        <v>0.40485829959514169</v>
      </c>
      <c r="D46" s="39">
        <f t="shared" si="35"/>
        <v>0.40796998506538451</v>
      </c>
      <c r="E46" s="39">
        <f t="shared" si="35"/>
        <v>0.41851878913812957</v>
      </c>
      <c r="F46" s="39">
        <f t="shared" si="35"/>
        <v>0.42932235162762905</v>
      </c>
      <c r="G46" s="39">
        <f t="shared" si="35"/>
        <v>0.44038588614922103</v>
      </c>
      <c r="H46" s="39">
        <f t="shared" si="35"/>
        <v>0.45171466399033855</v>
      </c>
      <c r="I46" s="39">
        <f t="shared" si="35"/>
        <v>0.46331401199695255</v>
      </c>
      <c r="J46" s="39">
        <f t="shared" si="35"/>
        <v>0.47518931027292455</v>
      </c>
      <c r="K46" s="39">
        <f t="shared" si="35"/>
        <v>0.48734598968504367</v>
      </c>
      <c r="L46" s="39">
        <f t="shared" si="35"/>
        <v>0.49978952916650649</v>
      </c>
      <c r="M46" s="40">
        <f t="shared" si="35"/>
        <v>0.51252545281159689</v>
      </c>
      <c r="AU46" s="18"/>
      <c r="AV46" s="61"/>
      <c r="AW46" s="22"/>
      <c r="AX46" s="22"/>
      <c r="AY46" s="22"/>
      <c r="AZ46" s="22"/>
      <c r="BA46" s="22"/>
      <c r="BB46" s="15"/>
      <c r="BC46" s="15"/>
      <c r="BD46" s="15"/>
      <c r="BE46" s="15"/>
      <c r="BF46" s="15"/>
    </row>
    <row r="47" spans="1:58" x14ac:dyDescent="0.2">
      <c r="A47" s="66"/>
      <c r="B47" s="55" t="s">
        <v>29</v>
      </c>
      <c r="C47" s="47"/>
      <c r="D47" s="47">
        <f>D37-(D41-C41)</f>
        <v>-2.5700000000000358</v>
      </c>
      <c r="E47" s="47">
        <f t="shared" ref="E47:M47" si="36">E37-(E41-D41)</f>
        <v>-2.2385000000000339</v>
      </c>
      <c r="F47" s="47">
        <f t="shared" si="36"/>
        <v>-1.8096289999999939</v>
      </c>
      <c r="G47" s="47">
        <f t="shared" si="36"/>
        <v>-1.2665192899999873</v>
      </c>
      <c r="H47" s="47">
        <f t="shared" si="36"/>
        <v>-0.58981254770003488</v>
      </c>
      <c r="I47" s="47">
        <f t="shared" si="36"/>
        <v>0.24268101881494175</v>
      </c>
      <c r="J47" s="47">
        <f t="shared" si="36"/>
        <v>1.2563682098132816</v>
      </c>
      <c r="K47" s="47">
        <f t="shared" si="36"/>
        <v>2.4803087559180099</v>
      </c>
      <c r="L47" s="47">
        <f t="shared" si="36"/>
        <v>3.9477080400388473</v>
      </c>
      <c r="M47" s="48">
        <f t="shared" si="36"/>
        <v>5.6964738392609462</v>
      </c>
      <c r="N47" s="67">
        <f t="shared" ref="N47:AH47" si="37">N40-(N42-M42)</f>
        <v>0</v>
      </c>
      <c r="O47" s="67" t="e">
        <f t="shared" si="37"/>
        <v>#DIV/0!</v>
      </c>
      <c r="P47" s="67" t="e">
        <f t="shared" si="37"/>
        <v>#DIV/0!</v>
      </c>
      <c r="Q47" s="67" t="e">
        <f t="shared" si="37"/>
        <v>#DIV/0!</v>
      </c>
      <c r="R47" s="67" t="e">
        <f t="shared" si="37"/>
        <v>#DIV/0!</v>
      </c>
      <c r="S47" s="67" t="e">
        <f t="shared" si="37"/>
        <v>#DIV/0!</v>
      </c>
      <c r="T47" s="67" t="e">
        <f t="shared" si="37"/>
        <v>#DIV/0!</v>
      </c>
      <c r="U47" s="67" t="e">
        <f t="shared" si="37"/>
        <v>#DIV/0!</v>
      </c>
      <c r="V47" s="67" t="e">
        <f t="shared" si="37"/>
        <v>#DIV/0!</v>
      </c>
      <c r="W47" s="67" t="e">
        <f t="shared" si="37"/>
        <v>#DIV/0!</v>
      </c>
      <c r="X47" s="67" t="e">
        <f t="shared" si="37"/>
        <v>#DIV/0!</v>
      </c>
      <c r="Y47" s="67" t="e">
        <f t="shared" si="37"/>
        <v>#DIV/0!</v>
      </c>
      <c r="Z47" s="67">
        <f t="shared" si="37"/>
        <v>0</v>
      </c>
      <c r="AA47" s="67">
        <f t="shared" si="37"/>
        <v>0</v>
      </c>
      <c r="AB47" s="67">
        <f t="shared" si="37"/>
        <v>0</v>
      </c>
      <c r="AC47" s="67">
        <f t="shared" si="37"/>
        <v>0</v>
      </c>
      <c r="AD47" s="67">
        <f t="shared" si="37"/>
        <v>0</v>
      </c>
      <c r="AE47" s="67">
        <f t="shared" si="37"/>
        <v>0</v>
      </c>
      <c r="AF47" s="67">
        <f t="shared" si="37"/>
        <v>0</v>
      </c>
      <c r="AG47" s="67">
        <f t="shared" si="37"/>
        <v>0</v>
      </c>
      <c r="AH47" s="67">
        <f t="shared" si="37"/>
        <v>0</v>
      </c>
    </row>
    <row r="48" spans="1:58" x14ac:dyDescent="0.2">
      <c r="A48" s="75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58" x14ac:dyDescent="0.2">
      <c r="A49" s="85" t="s">
        <v>38</v>
      </c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AU49" s="16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</row>
    <row r="50" spans="1:58" x14ac:dyDescent="0.2">
      <c r="A50" s="75"/>
      <c r="B50" s="24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AU50" s="18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1:58" x14ac:dyDescent="0.2">
      <c r="A51" s="66"/>
      <c r="B51" s="2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AU51" s="18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1:58" x14ac:dyDescent="0.2">
      <c r="A52" s="66"/>
      <c r="B52" s="2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AU52" s="18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1:58" x14ac:dyDescent="0.2">
      <c r="A53" s="75"/>
      <c r="B53" s="2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AU53" s="18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1:58" x14ac:dyDescent="0.2">
      <c r="A54" s="75"/>
      <c r="B54" s="2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AU54" s="19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1:58" x14ac:dyDescent="0.2">
      <c r="A55" s="75"/>
      <c r="B55" s="2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AU55" s="62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</row>
    <row r="56" spans="1:58" x14ac:dyDescent="0.2">
      <c r="A56" s="75"/>
      <c r="B56" s="2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AU56" s="18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</row>
    <row r="57" spans="1:58" x14ac:dyDescent="0.2">
      <c r="A57" s="75"/>
      <c r="B57" s="24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AU57" s="18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</row>
    <row r="58" spans="1:58" x14ac:dyDescent="0.2">
      <c r="A58" s="75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</row>
    <row r="59" spans="1:58" x14ac:dyDescent="0.2">
      <c r="A59" s="75"/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AU59" s="18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</row>
    <row r="60" spans="1:58" x14ac:dyDescent="0.2">
      <c r="A60" s="75"/>
      <c r="B60" s="2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AU60" s="18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1:58" x14ac:dyDescent="0.2">
      <c r="A61" s="75"/>
      <c r="B61" s="24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AU61" s="19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</row>
    <row r="62" spans="1:58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AU62" s="19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</row>
    <row r="63" spans="1:58" x14ac:dyDescent="0.2">
      <c r="A63" s="59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U63" s="18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</row>
    <row r="64" spans="1:58" x14ac:dyDescent="0.2">
      <c r="AU64" s="18"/>
      <c r="AV64" s="61"/>
      <c r="AW64" s="22"/>
      <c r="AX64" s="22"/>
      <c r="AY64" s="22"/>
      <c r="AZ64" s="22"/>
      <c r="BA64" s="22"/>
      <c r="BB64" s="15"/>
      <c r="BC64" s="15"/>
      <c r="BD64" s="15"/>
      <c r="BE64" s="15"/>
      <c r="BF64" s="15"/>
    </row>
    <row r="65" spans="1:58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58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58" x14ac:dyDescent="0.2">
      <c r="A67" s="5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58" x14ac:dyDescent="0.2">
      <c r="A68" s="5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AU68" s="16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</row>
    <row r="69" spans="1:58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AU69" s="18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1:58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AU70" s="18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1:58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AU71" s="18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1:58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AU72" s="18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1:58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AU73" s="19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1:58" x14ac:dyDescent="0.2">
      <c r="AU74" s="62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</row>
    <row r="75" spans="1:58" x14ac:dyDescent="0.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AU75" s="18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</row>
    <row r="76" spans="1:58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AU76" s="18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</row>
    <row r="77" spans="1:58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AU77" s="19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1:58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AU78" s="18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</row>
    <row r="79" spans="1:58" x14ac:dyDescent="0.2">
      <c r="A79" s="59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U79" s="18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1:58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AU80" s="19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47:58" x14ac:dyDescent="0.2">
      <c r="AU81" s="19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</row>
    <row r="82" spans="47:58" x14ac:dyDescent="0.2">
      <c r="AU82" s="18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</row>
    <row r="83" spans="47:58" x14ac:dyDescent="0.2">
      <c r="AU83" s="18"/>
      <c r="AV83" s="61"/>
      <c r="AW83" s="22"/>
      <c r="AX83" s="22"/>
      <c r="AY83" s="22"/>
      <c r="AZ83" s="22"/>
      <c r="BA83" s="22"/>
      <c r="BB83" s="15"/>
      <c r="BC83" s="15"/>
      <c r="BD83" s="15"/>
      <c r="BE83" s="15"/>
      <c r="BF83" s="15"/>
    </row>
  </sheetData>
  <mergeCells count="2">
    <mergeCell ref="B2:M2"/>
    <mergeCell ref="B22:M22"/>
  </mergeCells>
  <hyperlinks>
    <hyperlink ref="A49" r:id="rId1" xr:uid="{76B2E222-9D93-6B47-BB09-543C2473BBF9}"/>
  </hyperlinks>
  <pageMargins left="0.75" right="0.75" top="1" bottom="1" header="0.5" footer="0.5"/>
  <pageSetup orientation="portrait" horizontalDpi="4294967292" verticalDpi="429496729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7829-E2CE-BF4B-8279-C800FC88773E}">
  <dimension ref="A1:BG83"/>
  <sheetViews>
    <sheetView showGridLines="0" zoomScale="106" workbookViewId="0">
      <pane ySplit="1" topLeftCell="A2" activePane="bottomLeft" state="frozen"/>
      <selection pane="bottomLeft" activeCell="A49" sqref="A49"/>
    </sheetView>
  </sheetViews>
  <sheetFormatPr baseColWidth="10" defaultRowHeight="16" x14ac:dyDescent="0.2"/>
  <cols>
    <col min="1" max="1" width="26.6640625" style="57" customWidth="1"/>
    <col min="2" max="2" width="48.5" style="1" customWidth="1"/>
    <col min="3" max="13" width="10.83203125" style="1"/>
    <col min="14" max="34" width="0" style="57" hidden="1" customWidth="1"/>
    <col min="35" max="35" width="10.83203125" style="57"/>
    <col min="36" max="36" width="45.5" style="57" bestFit="1" customWidth="1"/>
    <col min="37" max="46" width="10.83203125" style="57"/>
    <col min="47" max="59" width="10.83203125" style="58"/>
    <col min="60" max="16384" width="10.83203125" style="57"/>
  </cols>
  <sheetData>
    <row r="1" spans="1:59" ht="91" customHeight="1" x14ac:dyDescent="0.2">
      <c r="A1" s="70"/>
      <c r="B1" s="23"/>
      <c r="C1" s="41" t="s">
        <v>18</v>
      </c>
      <c r="D1" s="41" t="s">
        <v>19</v>
      </c>
      <c r="E1" s="41" t="s">
        <v>20</v>
      </c>
      <c r="F1" s="41" t="s">
        <v>21</v>
      </c>
      <c r="G1" s="41" t="s">
        <v>22</v>
      </c>
      <c r="H1" s="41" t="s">
        <v>23</v>
      </c>
      <c r="I1" s="41" t="s">
        <v>24</v>
      </c>
      <c r="J1" s="41" t="s">
        <v>25</v>
      </c>
      <c r="K1" s="41" t="s">
        <v>26</v>
      </c>
      <c r="L1" s="41" t="s">
        <v>27</v>
      </c>
      <c r="M1" s="42" t="s">
        <v>28</v>
      </c>
    </row>
    <row r="2" spans="1:59" ht="14" customHeight="1" x14ac:dyDescent="0.2">
      <c r="A2" s="63" t="s">
        <v>34</v>
      </c>
      <c r="B2" s="136" t="s">
        <v>11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59" x14ac:dyDescent="0.2">
      <c r="A3" s="82">
        <v>0.12</v>
      </c>
      <c r="B3" s="49" t="s">
        <v>0</v>
      </c>
      <c r="C3" s="50">
        <v>100</v>
      </c>
      <c r="D3" s="50">
        <f>C3*(1+$A$3)</f>
        <v>112.00000000000001</v>
      </c>
      <c r="E3" s="50">
        <f t="shared" ref="E3:M3" si="0">D3*(1+$A$3)</f>
        <v>125.44000000000003</v>
      </c>
      <c r="F3" s="50">
        <f t="shared" si="0"/>
        <v>140.49280000000005</v>
      </c>
      <c r="G3" s="50">
        <f t="shared" si="0"/>
        <v>157.35193600000005</v>
      </c>
      <c r="H3" s="50">
        <f t="shared" si="0"/>
        <v>176.23416832000007</v>
      </c>
      <c r="I3" s="50">
        <f t="shared" si="0"/>
        <v>197.38226851840008</v>
      </c>
      <c r="J3" s="50">
        <f t="shared" si="0"/>
        <v>221.0681407406081</v>
      </c>
      <c r="K3" s="50">
        <f t="shared" si="0"/>
        <v>247.59631762948109</v>
      </c>
      <c r="L3" s="50">
        <f t="shared" si="0"/>
        <v>277.30787574501886</v>
      </c>
      <c r="M3" s="51">
        <f t="shared" si="0"/>
        <v>310.58482083442118</v>
      </c>
      <c r="AU3" s="16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4"/>
    </row>
    <row r="4" spans="1:59" x14ac:dyDescent="0.2">
      <c r="A4" s="82">
        <v>0.2</v>
      </c>
      <c r="B4" s="3" t="s">
        <v>1</v>
      </c>
      <c r="C4" s="26">
        <f>C$3*$A4</f>
        <v>20</v>
      </c>
      <c r="D4" s="26">
        <f t="shared" ref="D4:M6" si="1">D$3*$A4</f>
        <v>22.400000000000006</v>
      </c>
      <c r="E4" s="26">
        <f t="shared" si="1"/>
        <v>25.088000000000008</v>
      </c>
      <c r="F4" s="26">
        <f t="shared" si="1"/>
        <v>28.09856000000001</v>
      </c>
      <c r="G4" s="26">
        <f t="shared" si="1"/>
        <v>31.470387200000012</v>
      </c>
      <c r="H4" s="26">
        <f t="shared" si="1"/>
        <v>35.246833664000015</v>
      </c>
      <c r="I4" s="26">
        <f t="shared" si="1"/>
        <v>39.476453703680022</v>
      </c>
      <c r="J4" s="26">
        <f t="shared" si="1"/>
        <v>44.213628148121622</v>
      </c>
      <c r="K4" s="26">
        <f t="shared" si="1"/>
        <v>49.519263525896221</v>
      </c>
      <c r="L4" s="26">
        <f t="shared" si="1"/>
        <v>55.461575149003778</v>
      </c>
      <c r="M4" s="27">
        <f t="shared" si="1"/>
        <v>62.116964166884237</v>
      </c>
      <c r="AU4" s="18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</row>
    <row r="5" spans="1:59" x14ac:dyDescent="0.2">
      <c r="A5" s="82">
        <v>0.4</v>
      </c>
      <c r="B5" s="3" t="s">
        <v>2</v>
      </c>
      <c r="C5" s="26">
        <f>C$3*$A5</f>
        <v>40</v>
      </c>
      <c r="D5" s="26">
        <f t="shared" si="1"/>
        <v>44.800000000000011</v>
      </c>
      <c r="E5" s="26">
        <f t="shared" si="1"/>
        <v>50.176000000000016</v>
      </c>
      <c r="F5" s="26">
        <f t="shared" si="1"/>
        <v>56.19712000000002</v>
      </c>
      <c r="G5" s="26">
        <f t="shared" si="1"/>
        <v>62.940774400000024</v>
      </c>
      <c r="H5" s="26">
        <f t="shared" si="1"/>
        <v>70.493667328000029</v>
      </c>
      <c r="I5" s="26">
        <f t="shared" si="1"/>
        <v>78.952907407360044</v>
      </c>
      <c r="J5" s="26">
        <f t="shared" si="1"/>
        <v>88.427256296243243</v>
      </c>
      <c r="K5" s="26">
        <f t="shared" si="1"/>
        <v>99.038527051792443</v>
      </c>
      <c r="L5" s="26">
        <f t="shared" si="1"/>
        <v>110.92315029800756</v>
      </c>
      <c r="M5" s="27">
        <f t="shared" si="1"/>
        <v>124.23392833376847</v>
      </c>
      <c r="AJ5" s="71" t="s">
        <v>17</v>
      </c>
      <c r="AU5" s="18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4"/>
    </row>
    <row r="6" spans="1:59" x14ac:dyDescent="0.2">
      <c r="A6" s="82">
        <v>0.15</v>
      </c>
      <c r="B6" s="3" t="s">
        <v>8</v>
      </c>
      <c r="C6" s="26">
        <f>C$3*$A6</f>
        <v>15</v>
      </c>
      <c r="D6" s="26">
        <f t="shared" si="1"/>
        <v>16.8</v>
      </c>
      <c r="E6" s="26">
        <f t="shared" si="1"/>
        <v>18.816000000000003</v>
      </c>
      <c r="F6" s="26">
        <f t="shared" si="1"/>
        <v>21.073920000000005</v>
      </c>
      <c r="G6" s="26">
        <f t="shared" si="1"/>
        <v>23.602790400000007</v>
      </c>
      <c r="H6" s="26">
        <f t="shared" si="1"/>
        <v>26.435125248000009</v>
      </c>
      <c r="I6" s="26">
        <f t="shared" si="1"/>
        <v>29.607340277760009</v>
      </c>
      <c r="J6" s="26">
        <f t="shared" si="1"/>
        <v>33.160221111091211</v>
      </c>
      <c r="K6" s="26">
        <f t="shared" si="1"/>
        <v>37.139447644422162</v>
      </c>
      <c r="L6" s="26">
        <f t="shared" si="1"/>
        <v>41.596181361752826</v>
      </c>
      <c r="M6" s="27">
        <f t="shared" si="1"/>
        <v>46.587723125163173</v>
      </c>
      <c r="AJ6" s="72" t="str">
        <f>"#of years of Capitalization of "&amp;B5</f>
        <v>#of years of Capitalization of R&amp;D</v>
      </c>
      <c r="AU6" s="18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4"/>
    </row>
    <row r="7" spans="1:59" x14ac:dyDescent="0.2">
      <c r="A7" s="82"/>
      <c r="B7" s="52" t="s">
        <v>3</v>
      </c>
      <c r="C7" s="43">
        <f>C3-SUM(C4:C6)</f>
        <v>25</v>
      </c>
      <c r="D7" s="43">
        <f t="shared" ref="D7:K7" si="2">D3-SUM(D4:D6)</f>
        <v>28</v>
      </c>
      <c r="E7" s="43">
        <f t="shared" si="2"/>
        <v>31.36</v>
      </c>
      <c r="F7" s="43">
        <f t="shared" si="2"/>
        <v>35.123200000000011</v>
      </c>
      <c r="G7" s="43">
        <f t="shared" si="2"/>
        <v>39.337984000000006</v>
      </c>
      <c r="H7" s="43">
        <f t="shared" si="2"/>
        <v>44.058542079999995</v>
      </c>
      <c r="I7" s="43">
        <f t="shared" si="2"/>
        <v>49.345567129599999</v>
      </c>
      <c r="J7" s="43">
        <f t="shared" si="2"/>
        <v>55.267035185152025</v>
      </c>
      <c r="K7" s="43">
        <f t="shared" si="2"/>
        <v>61.899079407370294</v>
      </c>
      <c r="L7" s="43">
        <f t="shared" ref="L7:M7" si="3">L3-SUM(L4:L6)</f>
        <v>69.326968936254701</v>
      </c>
      <c r="M7" s="44">
        <f t="shared" si="3"/>
        <v>77.646205208605295</v>
      </c>
      <c r="AJ7" s="73">
        <v>5</v>
      </c>
      <c r="AU7" s="18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4"/>
    </row>
    <row r="8" spans="1:59" x14ac:dyDescent="0.2">
      <c r="A8" s="82">
        <v>0.3</v>
      </c>
      <c r="B8" s="3" t="s">
        <v>4</v>
      </c>
      <c r="C8" s="26">
        <f>C$7*$A8</f>
        <v>7.5</v>
      </c>
      <c r="D8" s="26">
        <f t="shared" ref="D8:M8" si="4">D$7*$A8</f>
        <v>8.4</v>
      </c>
      <c r="E8" s="26">
        <f t="shared" si="4"/>
        <v>9.4079999999999995</v>
      </c>
      <c r="F8" s="26">
        <f t="shared" si="4"/>
        <v>10.536960000000002</v>
      </c>
      <c r="G8" s="26">
        <f t="shared" si="4"/>
        <v>11.801395200000002</v>
      </c>
      <c r="H8" s="26">
        <f t="shared" si="4"/>
        <v>13.217562623999997</v>
      </c>
      <c r="I8" s="26">
        <f t="shared" si="4"/>
        <v>14.803670138879999</v>
      </c>
      <c r="J8" s="26">
        <f t="shared" si="4"/>
        <v>16.580110555545605</v>
      </c>
      <c r="K8" s="26">
        <f t="shared" si="4"/>
        <v>18.569723822211088</v>
      </c>
      <c r="L8" s="26">
        <f t="shared" si="4"/>
        <v>20.79809068087641</v>
      </c>
      <c r="M8" s="27">
        <f t="shared" si="4"/>
        <v>23.293861562581586</v>
      </c>
      <c r="AJ8" s="74"/>
      <c r="AU8" s="19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4"/>
    </row>
    <row r="9" spans="1:59" x14ac:dyDescent="0.2">
      <c r="A9" s="82"/>
      <c r="B9" s="3" t="s">
        <v>5</v>
      </c>
      <c r="C9" s="26">
        <f>C7-C8</f>
        <v>17.5</v>
      </c>
      <c r="D9" s="26">
        <f t="shared" ref="D9:M9" si="5">D7-D8</f>
        <v>19.600000000000001</v>
      </c>
      <c r="E9" s="26">
        <f t="shared" si="5"/>
        <v>21.951999999999998</v>
      </c>
      <c r="F9" s="26">
        <f t="shared" si="5"/>
        <v>24.586240000000011</v>
      </c>
      <c r="G9" s="26">
        <f t="shared" si="5"/>
        <v>27.536588800000004</v>
      </c>
      <c r="H9" s="26">
        <f t="shared" si="5"/>
        <v>30.840979455999999</v>
      </c>
      <c r="I9" s="26">
        <f t="shared" si="5"/>
        <v>34.541896990719998</v>
      </c>
      <c r="J9" s="26">
        <f t="shared" si="5"/>
        <v>38.686924629606423</v>
      </c>
      <c r="K9" s="26">
        <f t="shared" si="5"/>
        <v>43.329355585159206</v>
      </c>
      <c r="L9" s="26">
        <f t="shared" si="5"/>
        <v>48.528878255378288</v>
      </c>
      <c r="M9" s="27">
        <f t="shared" si="5"/>
        <v>54.352343646023712</v>
      </c>
      <c r="AJ9" s="72" t="str">
        <f>"#of years of Capitalization of "&amp;B6</f>
        <v>#of years of Capitalization of Sales &amp; Marketing</v>
      </c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14"/>
    </row>
    <row r="10" spans="1:59" x14ac:dyDescent="0.2">
      <c r="A10" s="82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AJ10" s="73">
        <v>0</v>
      </c>
      <c r="AU10" s="20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4"/>
    </row>
    <row r="11" spans="1:59" x14ac:dyDescent="0.2">
      <c r="A11" s="82"/>
      <c r="B11" s="116" t="s">
        <v>3</v>
      </c>
      <c r="C11" s="43">
        <f>C7</f>
        <v>25</v>
      </c>
      <c r="D11" s="43">
        <f t="shared" ref="D11:M11" si="6">D7</f>
        <v>28</v>
      </c>
      <c r="E11" s="43">
        <f t="shared" si="6"/>
        <v>31.36</v>
      </c>
      <c r="F11" s="43">
        <f t="shared" si="6"/>
        <v>35.123200000000011</v>
      </c>
      <c r="G11" s="43">
        <f t="shared" si="6"/>
        <v>39.337984000000006</v>
      </c>
      <c r="H11" s="43">
        <f t="shared" si="6"/>
        <v>44.058542079999995</v>
      </c>
      <c r="I11" s="43">
        <f t="shared" si="6"/>
        <v>49.345567129599999</v>
      </c>
      <c r="J11" s="43">
        <f t="shared" si="6"/>
        <v>55.267035185152025</v>
      </c>
      <c r="K11" s="43">
        <f t="shared" si="6"/>
        <v>61.899079407370294</v>
      </c>
      <c r="L11" s="43">
        <f t="shared" si="6"/>
        <v>69.326968936254701</v>
      </c>
      <c r="M11" s="44">
        <f t="shared" si="6"/>
        <v>77.646205208605295</v>
      </c>
      <c r="AJ11" s="64"/>
      <c r="AU11" s="19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4"/>
    </row>
    <row r="12" spans="1:59" x14ac:dyDescent="0.2">
      <c r="A12" s="82">
        <v>0.33</v>
      </c>
      <c r="B12" s="3" t="s">
        <v>6</v>
      </c>
      <c r="C12" s="26">
        <f>C$7*$A12</f>
        <v>8.25</v>
      </c>
      <c r="D12" s="26">
        <f t="shared" ref="D12:M12" si="7">D$7*$A12</f>
        <v>9.24</v>
      </c>
      <c r="E12" s="26">
        <f t="shared" si="7"/>
        <v>10.348800000000001</v>
      </c>
      <c r="F12" s="26">
        <f t="shared" si="7"/>
        <v>11.590656000000005</v>
      </c>
      <c r="G12" s="26">
        <f t="shared" si="7"/>
        <v>12.981534720000003</v>
      </c>
      <c r="H12" s="26">
        <f t="shared" si="7"/>
        <v>14.539318886399998</v>
      </c>
      <c r="I12" s="26">
        <f t="shared" si="7"/>
        <v>16.284037152768001</v>
      </c>
      <c r="J12" s="26">
        <f t="shared" si="7"/>
        <v>18.238121611100169</v>
      </c>
      <c r="K12" s="26">
        <f t="shared" si="7"/>
        <v>20.426696204432197</v>
      </c>
      <c r="L12" s="26">
        <f t="shared" si="7"/>
        <v>22.877899748964051</v>
      </c>
      <c r="M12" s="27">
        <f t="shared" si="7"/>
        <v>25.62324771883975</v>
      </c>
      <c r="AJ12" s="60" t="s">
        <v>13</v>
      </c>
      <c r="AU12" s="18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4"/>
    </row>
    <row r="13" spans="1:59" x14ac:dyDescent="0.2">
      <c r="A13" s="82"/>
      <c r="B13" s="52" t="s">
        <v>7</v>
      </c>
      <c r="C13" s="43">
        <f>C11-C12</f>
        <v>16.75</v>
      </c>
      <c r="D13" s="43">
        <f t="shared" ref="D13:M13" si="8">D11-D12</f>
        <v>18.759999999999998</v>
      </c>
      <c r="E13" s="43">
        <f t="shared" si="8"/>
        <v>21.011199999999999</v>
      </c>
      <c r="F13" s="43">
        <f t="shared" si="8"/>
        <v>23.532544000000009</v>
      </c>
      <c r="G13" s="43">
        <f t="shared" si="8"/>
        <v>26.356449280000003</v>
      </c>
      <c r="H13" s="43">
        <f t="shared" si="8"/>
        <v>29.519223193599998</v>
      </c>
      <c r="I13" s="43">
        <f t="shared" si="8"/>
        <v>33.061529976831999</v>
      </c>
      <c r="J13" s="43">
        <f t="shared" si="8"/>
        <v>37.028913574051856</v>
      </c>
      <c r="K13" s="43">
        <f t="shared" si="8"/>
        <v>41.472383202938097</v>
      </c>
      <c r="L13" s="43">
        <f t="shared" si="8"/>
        <v>46.449069187290647</v>
      </c>
      <c r="M13" s="44">
        <f t="shared" si="8"/>
        <v>52.022957489765545</v>
      </c>
      <c r="AJ13" s="65">
        <v>7.0000000000000007E-2</v>
      </c>
      <c r="AU13" s="19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14"/>
    </row>
    <row r="14" spans="1:59" x14ac:dyDescent="0.2">
      <c r="A14" s="82"/>
      <c r="B14" s="3"/>
      <c r="C14" s="26"/>
      <c r="D14" s="32"/>
      <c r="E14" s="26"/>
      <c r="F14" s="26"/>
      <c r="G14" s="26"/>
      <c r="H14" s="26"/>
      <c r="I14" s="26"/>
      <c r="J14" s="26"/>
      <c r="K14" s="26"/>
      <c r="L14" s="26"/>
      <c r="M14" s="27"/>
      <c r="AU14" s="18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14"/>
    </row>
    <row r="15" spans="1:59" x14ac:dyDescent="0.2">
      <c r="A15" s="82">
        <v>0.09</v>
      </c>
      <c r="B15" s="3" t="s">
        <v>12</v>
      </c>
      <c r="C15" s="26">
        <v>237</v>
      </c>
      <c r="D15" s="26">
        <f>C15*(1+$A$15)</f>
        <v>258.33000000000004</v>
      </c>
      <c r="E15" s="26">
        <f t="shared" ref="E15:M15" si="9">D15*(1+$A$15)</f>
        <v>281.57970000000006</v>
      </c>
      <c r="F15" s="26">
        <f t="shared" si="9"/>
        <v>306.92187300000006</v>
      </c>
      <c r="G15" s="26">
        <f t="shared" si="9"/>
        <v>334.54484157000007</v>
      </c>
      <c r="H15" s="26">
        <f t="shared" si="9"/>
        <v>364.65387731130011</v>
      </c>
      <c r="I15" s="26">
        <f t="shared" si="9"/>
        <v>397.47272626931715</v>
      </c>
      <c r="J15" s="26">
        <f t="shared" si="9"/>
        <v>433.24527163355572</v>
      </c>
      <c r="K15" s="26">
        <f t="shared" si="9"/>
        <v>472.23734608057578</v>
      </c>
      <c r="L15" s="26">
        <f t="shared" si="9"/>
        <v>514.7387072278276</v>
      </c>
      <c r="M15" s="27">
        <f t="shared" si="9"/>
        <v>561.06519087833215</v>
      </c>
      <c r="AU15" s="18"/>
      <c r="AV15" s="61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4"/>
    </row>
    <row r="16" spans="1:59" x14ac:dyDescent="0.2">
      <c r="A16" s="82"/>
      <c r="B16" s="52" t="s">
        <v>32</v>
      </c>
      <c r="C16" s="45">
        <f>C13/C15</f>
        <v>7.0675105485232065E-2</v>
      </c>
      <c r="D16" s="45">
        <f t="shared" ref="D16:M16" si="10">D13/D15</f>
        <v>7.2620291874733844E-2</v>
      </c>
      <c r="E16" s="45">
        <f t="shared" si="10"/>
        <v>7.4619015504313685E-2</v>
      </c>
      <c r="F16" s="45">
        <f t="shared" si="10"/>
        <v>7.6672749875992069E-2</v>
      </c>
      <c r="G16" s="45">
        <f t="shared" si="10"/>
        <v>7.8783009046890909E-2</v>
      </c>
      <c r="H16" s="45">
        <f t="shared" si="10"/>
        <v>8.0951348745429169E-2</v>
      </c>
      <c r="I16" s="45">
        <f t="shared" si="10"/>
        <v>8.317936751823915E-2</v>
      </c>
      <c r="J16" s="45">
        <f t="shared" si="10"/>
        <v>8.5468707908649438E-2</v>
      </c>
      <c r="K16" s="45">
        <f t="shared" si="10"/>
        <v>8.782105766760312E-2</v>
      </c>
      <c r="L16" s="45">
        <f t="shared" si="10"/>
        <v>9.0238150997904082E-2</v>
      </c>
      <c r="M16" s="46">
        <f t="shared" si="10"/>
        <v>9.27217698327088E-2</v>
      </c>
      <c r="AU16" s="12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4"/>
    </row>
    <row r="17" spans="1:59" x14ac:dyDescent="0.2">
      <c r="A17" s="82"/>
      <c r="B17" s="3" t="s">
        <v>14</v>
      </c>
      <c r="C17" s="28">
        <f t="shared" ref="C17:M17" si="11">(C16-$AJ$13)*C15</f>
        <v>0.15999999999999778</v>
      </c>
      <c r="D17" s="28">
        <f t="shared" si="11"/>
        <v>0.6768999999999924</v>
      </c>
      <c r="E17" s="28">
        <f t="shared" si="11"/>
        <v>1.3006209999999945</v>
      </c>
      <c r="F17" s="28">
        <f t="shared" si="11"/>
        <v>2.0480128900000021</v>
      </c>
      <c r="G17" s="28">
        <f t="shared" si="11"/>
        <v>2.9383103700999942</v>
      </c>
      <c r="H17" s="28">
        <f t="shared" si="11"/>
        <v>3.9934517818089863</v>
      </c>
      <c r="I17" s="28">
        <f t="shared" si="11"/>
        <v>5.238439137979797</v>
      </c>
      <c r="J17" s="28">
        <f t="shared" si="11"/>
        <v>6.7017445597029548</v>
      </c>
      <c r="K17" s="28">
        <f t="shared" si="11"/>
        <v>8.4157689772977893</v>
      </c>
      <c r="L17" s="28">
        <f t="shared" si="11"/>
        <v>10.417359681342713</v>
      </c>
      <c r="M17" s="33">
        <f t="shared" si="11"/>
        <v>12.748394128282289</v>
      </c>
      <c r="BG17" s="14"/>
    </row>
    <row r="18" spans="1:59" x14ac:dyDescent="0.2">
      <c r="A18" s="82"/>
      <c r="B18" s="3" t="s">
        <v>15</v>
      </c>
      <c r="C18" s="29">
        <f>C13/C3</f>
        <v>0.16750000000000001</v>
      </c>
      <c r="D18" s="29">
        <f t="shared" ref="D18:M18" si="12">D13/D3</f>
        <v>0.16749999999999995</v>
      </c>
      <c r="E18" s="29">
        <f t="shared" si="12"/>
        <v>0.16749999999999995</v>
      </c>
      <c r="F18" s="29">
        <f t="shared" si="12"/>
        <v>0.16750000000000001</v>
      </c>
      <c r="G18" s="29">
        <f t="shared" si="12"/>
        <v>0.16749999999999995</v>
      </c>
      <c r="H18" s="29">
        <f t="shared" si="12"/>
        <v>0.16749999999999993</v>
      </c>
      <c r="I18" s="29">
        <f t="shared" si="12"/>
        <v>0.16749999999999993</v>
      </c>
      <c r="J18" s="29">
        <f t="shared" si="12"/>
        <v>0.16750000000000001</v>
      </c>
      <c r="K18" s="29">
        <f t="shared" si="12"/>
        <v>0.16750000000000007</v>
      </c>
      <c r="L18" s="29">
        <f t="shared" si="12"/>
        <v>0.16749999999999995</v>
      </c>
      <c r="M18" s="34">
        <f t="shared" si="12"/>
        <v>0.16749999999999998</v>
      </c>
      <c r="BG18" s="14"/>
    </row>
    <row r="19" spans="1:59" x14ac:dyDescent="0.2">
      <c r="A19" s="82"/>
      <c r="B19" s="3" t="s">
        <v>16</v>
      </c>
      <c r="C19" s="31">
        <f>C3/C15</f>
        <v>0.4219409282700422</v>
      </c>
      <c r="D19" s="31">
        <f t="shared" ref="D19:M19" si="13">D3/D15</f>
        <v>0.43355398134169471</v>
      </c>
      <c r="E19" s="31">
        <f t="shared" si="13"/>
        <v>0.44548665972724594</v>
      </c>
      <c r="F19" s="31">
        <f t="shared" si="13"/>
        <v>0.45774776045368398</v>
      </c>
      <c r="G19" s="31">
        <f t="shared" si="13"/>
        <v>0.47034632266800558</v>
      </c>
      <c r="H19" s="31">
        <f t="shared" si="13"/>
        <v>0.48329163430106992</v>
      </c>
      <c r="I19" s="31">
        <f t="shared" si="13"/>
        <v>0.49659323891486079</v>
      </c>
      <c r="J19" s="31">
        <f t="shared" si="13"/>
        <v>0.51026094273820555</v>
      </c>
      <c r="K19" s="31">
        <f t="shared" si="13"/>
        <v>0.52430482189613781</v>
      </c>
      <c r="L19" s="31">
        <f t="shared" si="13"/>
        <v>0.53873522983823341</v>
      </c>
      <c r="M19" s="35">
        <f t="shared" si="13"/>
        <v>0.55356280497139587</v>
      </c>
      <c r="BG19" s="14"/>
    </row>
    <row r="20" spans="1:59" x14ac:dyDescent="0.2">
      <c r="A20" s="82"/>
      <c r="B20" s="55" t="s">
        <v>29</v>
      </c>
      <c r="C20" s="56"/>
      <c r="D20" s="47">
        <f>D13-(D15-C15)</f>
        <v>-2.5700000000000429</v>
      </c>
      <c r="E20" s="47">
        <f t="shared" ref="E20:AH20" si="14">E13-(E15-D15)</f>
        <v>-2.2385000000000197</v>
      </c>
      <c r="F20" s="47">
        <f t="shared" si="14"/>
        <v>-1.8096289999999939</v>
      </c>
      <c r="G20" s="47">
        <f t="shared" si="14"/>
        <v>-1.2665192900000086</v>
      </c>
      <c r="H20" s="47">
        <f t="shared" si="14"/>
        <v>-0.58981254770003488</v>
      </c>
      <c r="I20" s="47">
        <f t="shared" si="14"/>
        <v>0.24268101881495596</v>
      </c>
      <c r="J20" s="47">
        <f t="shared" si="14"/>
        <v>1.2563682098132887</v>
      </c>
      <c r="K20" s="47">
        <f t="shared" si="14"/>
        <v>2.4803087559180383</v>
      </c>
      <c r="L20" s="47">
        <f t="shared" si="14"/>
        <v>3.9477080400388189</v>
      </c>
      <c r="M20" s="48">
        <f t="shared" si="14"/>
        <v>5.696473839261003</v>
      </c>
      <c r="N20" s="67">
        <f t="shared" si="14"/>
        <v>561.06519087833215</v>
      </c>
      <c r="O20" s="67">
        <f t="shared" si="14"/>
        <v>0</v>
      </c>
      <c r="P20" s="67">
        <f t="shared" si="14"/>
        <v>0</v>
      </c>
      <c r="Q20" s="67">
        <f t="shared" si="14"/>
        <v>0</v>
      </c>
      <c r="R20" s="67">
        <f t="shared" si="14"/>
        <v>0</v>
      </c>
      <c r="S20" s="67">
        <f t="shared" si="14"/>
        <v>0</v>
      </c>
      <c r="T20" s="67">
        <f t="shared" si="14"/>
        <v>0</v>
      </c>
      <c r="U20" s="67">
        <f t="shared" si="14"/>
        <v>0</v>
      </c>
      <c r="V20" s="67">
        <f t="shared" si="14"/>
        <v>0</v>
      </c>
      <c r="W20" s="67">
        <f t="shared" si="14"/>
        <v>0</v>
      </c>
      <c r="X20" s="67">
        <f t="shared" si="14"/>
        <v>0</v>
      </c>
      <c r="Y20" s="67">
        <f t="shared" si="14"/>
        <v>0</v>
      </c>
      <c r="Z20" s="67">
        <f t="shared" si="14"/>
        <v>0</v>
      </c>
      <c r="AA20" s="67">
        <f t="shared" si="14"/>
        <v>0</v>
      </c>
      <c r="AB20" s="67">
        <f t="shared" si="14"/>
        <v>0</v>
      </c>
      <c r="AC20" s="67">
        <f t="shared" si="14"/>
        <v>0</v>
      </c>
      <c r="AD20" s="67">
        <f t="shared" si="14"/>
        <v>0</v>
      </c>
      <c r="AE20" s="67">
        <f t="shared" si="14"/>
        <v>0</v>
      </c>
      <c r="AF20" s="67">
        <f t="shared" si="14"/>
        <v>0</v>
      </c>
      <c r="AG20" s="67">
        <f t="shared" si="14"/>
        <v>0</v>
      </c>
      <c r="AH20" s="67">
        <f t="shared" si="14"/>
        <v>0</v>
      </c>
      <c r="BG20" s="14"/>
    </row>
    <row r="21" spans="1:59" x14ac:dyDescent="0.2">
      <c r="A21" s="82"/>
      <c r="B21" s="2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BG21" s="14"/>
    </row>
    <row r="22" spans="1:59" ht="41" customHeight="1" x14ac:dyDescent="0.2">
      <c r="A22" s="83"/>
      <c r="B22" s="141" t="s">
        <v>37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</row>
    <row r="23" spans="1:59" x14ac:dyDescent="0.2">
      <c r="A23" s="83"/>
      <c r="B23" s="49" t="s">
        <v>3</v>
      </c>
      <c r="C23" s="50">
        <f>C7</f>
        <v>25</v>
      </c>
      <c r="D23" s="50">
        <f t="shared" ref="D23:M23" si="15">D7</f>
        <v>28</v>
      </c>
      <c r="E23" s="50">
        <f t="shared" si="15"/>
        <v>31.36</v>
      </c>
      <c r="F23" s="50">
        <f t="shared" si="15"/>
        <v>35.123200000000011</v>
      </c>
      <c r="G23" s="50">
        <f t="shared" si="15"/>
        <v>39.337984000000006</v>
      </c>
      <c r="H23" s="50">
        <f t="shared" si="15"/>
        <v>44.058542079999995</v>
      </c>
      <c r="I23" s="50">
        <f t="shared" si="15"/>
        <v>49.345567129599999</v>
      </c>
      <c r="J23" s="50">
        <f t="shared" si="15"/>
        <v>55.267035185152025</v>
      </c>
      <c r="K23" s="50">
        <f t="shared" si="15"/>
        <v>61.899079407370294</v>
      </c>
      <c r="L23" s="50">
        <f t="shared" si="15"/>
        <v>69.326968936254701</v>
      </c>
      <c r="M23" s="51">
        <f t="shared" si="15"/>
        <v>77.646205208605295</v>
      </c>
      <c r="O23" s="57">
        <v>1</v>
      </c>
      <c r="P23" s="57">
        <v>2</v>
      </c>
      <c r="Q23" s="57">
        <v>3</v>
      </c>
      <c r="R23" s="57">
        <v>4</v>
      </c>
      <c r="S23" s="57">
        <v>5</v>
      </c>
      <c r="T23" s="57">
        <v>6</v>
      </c>
      <c r="U23" s="57">
        <v>7</v>
      </c>
      <c r="V23" s="57">
        <v>8</v>
      </c>
      <c r="W23" s="57">
        <v>9</v>
      </c>
      <c r="X23" s="57">
        <v>10</v>
      </c>
      <c r="Y23" s="57">
        <v>11</v>
      </c>
    </row>
    <row r="24" spans="1:59" x14ac:dyDescent="0.2">
      <c r="A24" s="83"/>
      <c r="B24" s="3" t="str">
        <f>"+ "&amp;B5</f>
        <v>+ R&amp;D</v>
      </c>
      <c r="C24" s="26">
        <f t="shared" ref="C24:M25" si="16">C5</f>
        <v>40</v>
      </c>
      <c r="D24" s="26">
        <f t="shared" si="16"/>
        <v>44.800000000000011</v>
      </c>
      <c r="E24" s="26">
        <f t="shared" si="16"/>
        <v>50.176000000000016</v>
      </c>
      <c r="F24" s="26">
        <f t="shared" si="16"/>
        <v>56.19712000000002</v>
      </c>
      <c r="G24" s="26">
        <f t="shared" si="16"/>
        <v>62.940774400000024</v>
      </c>
      <c r="H24" s="26">
        <f t="shared" si="16"/>
        <v>70.493667328000029</v>
      </c>
      <c r="I24" s="26">
        <f t="shared" si="16"/>
        <v>78.952907407360044</v>
      </c>
      <c r="J24" s="26">
        <f t="shared" si="16"/>
        <v>88.427256296243243</v>
      </c>
      <c r="K24" s="26">
        <f t="shared" si="16"/>
        <v>99.038527051792443</v>
      </c>
      <c r="L24" s="26">
        <f t="shared" si="16"/>
        <v>110.92315029800756</v>
      </c>
      <c r="M24" s="27">
        <f t="shared" si="16"/>
        <v>124.23392833376847</v>
      </c>
      <c r="N24" s="57">
        <v>1</v>
      </c>
      <c r="O24" s="68">
        <f t="shared" ref="O24:Y24" si="17">C6/$AJ$7</f>
        <v>3</v>
      </c>
      <c r="P24" s="68">
        <f t="shared" si="17"/>
        <v>3.3600000000000003</v>
      </c>
      <c r="Q24" s="68">
        <f t="shared" si="17"/>
        <v>3.7632000000000003</v>
      </c>
      <c r="R24" s="68">
        <f t="shared" si="17"/>
        <v>4.2147840000000008</v>
      </c>
      <c r="S24" s="68">
        <f t="shared" si="17"/>
        <v>4.7205580800000018</v>
      </c>
      <c r="T24" s="68">
        <f t="shared" si="17"/>
        <v>5.2870250496000022</v>
      </c>
      <c r="U24" s="68">
        <f t="shared" si="17"/>
        <v>5.9214680555520021</v>
      </c>
      <c r="V24" s="68">
        <f t="shared" si="17"/>
        <v>6.6320442222182425</v>
      </c>
      <c r="W24" s="68">
        <f t="shared" si="17"/>
        <v>7.4278895288844327</v>
      </c>
      <c r="X24" s="68">
        <f t="shared" si="17"/>
        <v>8.3192362723505653</v>
      </c>
      <c r="Y24" s="68">
        <f t="shared" si="17"/>
        <v>9.3175446250326353</v>
      </c>
      <c r="AI24" s="86"/>
    </row>
    <row r="25" spans="1:59" x14ac:dyDescent="0.2">
      <c r="A25" s="83"/>
      <c r="B25" s="3" t="str">
        <f>"+ "&amp;B6</f>
        <v>+ Sales &amp; Marketing</v>
      </c>
      <c r="C25" s="26">
        <f t="shared" si="16"/>
        <v>15</v>
      </c>
      <c r="D25" s="26">
        <f t="shared" si="16"/>
        <v>16.8</v>
      </c>
      <c r="E25" s="26">
        <f t="shared" si="16"/>
        <v>18.816000000000003</v>
      </c>
      <c r="F25" s="26">
        <f t="shared" si="16"/>
        <v>21.073920000000005</v>
      </c>
      <c r="G25" s="26">
        <f t="shared" si="16"/>
        <v>23.602790400000007</v>
      </c>
      <c r="H25" s="26">
        <f t="shared" si="16"/>
        <v>26.435125248000009</v>
      </c>
      <c r="I25" s="26">
        <f t="shared" si="16"/>
        <v>29.607340277760009</v>
      </c>
      <c r="J25" s="26">
        <f t="shared" si="16"/>
        <v>33.160221111091211</v>
      </c>
      <c r="K25" s="26">
        <f t="shared" si="16"/>
        <v>37.139447644422162</v>
      </c>
      <c r="L25" s="26">
        <f t="shared" si="16"/>
        <v>41.596181361752826</v>
      </c>
      <c r="M25" s="27">
        <f t="shared" si="16"/>
        <v>46.587723125163173</v>
      </c>
      <c r="N25" s="57">
        <v>2</v>
      </c>
      <c r="O25" s="69">
        <f>O24</f>
        <v>3</v>
      </c>
      <c r="P25" s="69">
        <f>+O25</f>
        <v>3</v>
      </c>
      <c r="Q25" s="69"/>
      <c r="R25" s="69"/>
      <c r="S25" s="69"/>
      <c r="T25" s="69"/>
      <c r="U25" s="69"/>
      <c r="V25" s="69"/>
      <c r="W25" s="69"/>
      <c r="X25" s="69"/>
    </row>
    <row r="26" spans="1:59" hidden="1" x14ac:dyDescent="0.2">
      <c r="A26" s="83"/>
      <c r="B26" s="3"/>
      <c r="C26" s="26">
        <f t="shared" ref="C26:M26" si="18">C24/$AJ$7</f>
        <v>8</v>
      </c>
      <c r="D26" s="26">
        <f t="shared" si="18"/>
        <v>8.9600000000000026</v>
      </c>
      <c r="E26" s="26">
        <f t="shared" si="18"/>
        <v>10.035200000000003</v>
      </c>
      <c r="F26" s="26">
        <f t="shared" si="18"/>
        <v>11.239424000000003</v>
      </c>
      <c r="G26" s="26">
        <f t="shared" si="18"/>
        <v>12.588154880000005</v>
      </c>
      <c r="H26" s="26">
        <f t="shared" si="18"/>
        <v>14.098733465600006</v>
      </c>
      <c r="I26" s="26">
        <f t="shared" si="18"/>
        <v>15.790581481472008</v>
      </c>
      <c r="J26" s="26">
        <f t="shared" si="18"/>
        <v>17.685451259248648</v>
      </c>
      <c r="K26" s="26">
        <f t="shared" si="18"/>
        <v>19.807705410358487</v>
      </c>
      <c r="L26" s="26">
        <f t="shared" si="18"/>
        <v>22.18463005960151</v>
      </c>
      <c r="M26" s="27">
        <f t="shared" si="18"/>
        <v>24.846785666753696</v>
      </c>
      <c r="N26" s="57">
        <v>3</v>
      </c>
      <c r="P26" s="69">
        <f>+P24</f>
        <v>3.3600000000000003</v>
      </c>
      <c r="Q26" s="69">
        <f>+P26</f>
        <v>3.3600000000000003</v>
      </c>
      <c r="R26" s="69"/>
      <c r="S26" s="69"/>
      <c r="T26" s="69"/>
      <c r="U26" s="69"/>
      <c r="V26" s="69"/>
      <c r="W26" s="69"/>
      <c r="X26" s="69"/>
      <c r="Y26" s="69"/>
      <c r="Z26" s="69">
        <f t="shared" ref="X26:AF33" si="19">+Y26</f>
        <v>0</v>
      </c>
    </row>
    <row r="27" spans="1:59" x14ac:dyDescent="0.2">
      <c r="A27" s="83"/>
      <c r="B27" s="3" t="str">
        <f>" - Amortization of "&amp;B5</f>
        <v xml:space="preserve"> - Amortization of R&amp;D</v>
      </c>
      <c r="C27" s="26">
        <f>IF(AJ7=0,0,(C24/$AJ$7))</f>
        <v>8</v>
      </c>
      <c r="D27" s="26">
        <f>IF($AJ$7=0,0,IF($AJ$7=2,SUM($C26:D26),IF($AJ$7=3,SUM($C26:D26),IF($AJ$7=4,SUM($C26:D26),IF($AJ$7=5,SUM($C26:D26),IF($AJ$7=6,SUM($C26:D26),IF($AJ$7=7,SUM($C26:D26),IF($AJ$7=8,SUM($C$26:D26),IF($AJ$7=9,SUM($C26:D26),IF($AJ$7=10,SUM($C26:D26)))))))))))</f>
        <v>16.96</v>
      </c>
      <c r="E27" s="26">
        <f>IF($AJ$7=0,0,IF($AJ$7=2,SUM(D26:E26),IF($AJ$7=3,SUM($C26:E26),IF($AJ$7=4,SUM($C26:E26),IF($AJ$7=5,SUM($C26:E26),IF($AJ$7=6,SUM($C26:E26),IF($AJ$7=7,SUM($C26:E26),IF($AJ$7=8,SUM($C$26:E26),IF($AJ$7=9,SUM($C26:E26),IF($AJ$7=10,SUM($C26:E26)))))))))))</f>
        <v>26.995200000000004</v>
      </c>
      <c r="F27" s="26">
        <f>IF($AJ$7=0,0,IF($AJ$7=2,SUM(E26:F26),IF($AJ$7=3,SUM(D26:F26),IF($AJ$7=4,SUM($C26:F26),IF($AJ$7=5,SUM($C26:F26),IF($AJ$7=6,SUM($C26:F26),IF($AJ$7=7,SUM($C26:F26),IF($AJ$7=8,SUM($C$26:F26),IF($AJ$7=9,SUM($C26:F26),IF($AJ$7=10,SUM($C26:F26)))))))))))</f>
        <v>38.234624000000011</v>
      </c>
      <c r="G27" s="26">
        <f>IF($AJ$7=0,0,IF($AJ$7=2,SUM(F26:G26),IF($AJ$7=3,SUM(E26:G26),IF($AJ$7=4,SUM(D26:G26),IF($AJ$7=5,SUM($C26:G26),IF($AJ$7=6,SUM($C26:G26),IF($AJ$7=7,SUM($C26:G26),IF($AJ$7=8,SUM($C$26:G26),IF($AJ$7=9,SUM($C26:G26),IF($AJ$7=10,SUM($C26:G26)))))))))))</f>
        <v>50.822778880000016</v>
      </c>
      <c r="H27" s="26">
        <f>IF($AJ$7=0,0,IF($AJ$7=2,SUM(G26:H26),IF($AJ$7=3,SUM(F26:H26),IF($AJ$7=4,SUM(E26:H26),IF($AJ$7=5,SUM(D26:H26),IF($AJ$7=6,SUM($C26:H26),IF($AJ$7=7,SUM($C26:H26),IF($AJ$7=8,SUM($C$26:H26),IF($AJ$7=9,SUM($C26:H26),IF($AJ$7=10,SUM($C26:H26)))))))))))</f>
        <v>56.921512345600021</v>
      </c>
      <c r="I27" s="26">
        <f>IF($AJ$7=0,0,IF($AJ$7=2,SUM(H26:I26),IF($AJ$7=3,SUM(G26:I26),IF($AJ$7=4,SUM(F26:I26),IF($AJ$7=5,SUM(E26:I26),IF($AJ$7=6,SUM(D26:I26),IF($AJ$7=7,SUM($C26:I26),IF($AJ$7=8,SUM($C$26:I26),IF($AJ$7=9,SUM($C26:I26),IF($AJ$7=10,SUM($C26:I26)))))))))))</f>
        <v>63.752093827072024</v>
      </c>
      <c r="J27" s="26">
        <f>IF($AJ$7=0,0,IF($AJ$7=2,SUM(I26:J26),IF($AJ$7=3,SUM(H26:J26),IF($AJ$7=4,SUM(G26:J26),IF($AJ$7=5,SUM(F26:J26),IF($AJ$7=6,SUM(E26:J26),IF($AJ$7=7,SUM(D26:J26),IF($AJ$7=8,SUM($C$26:J26),IF($AJ$7=9,SUM($C26:J26),IF($AJ$7=10,SUM($C26:J26)))))))))))</f>
        <v>71.402345086320665</v>
      </c>
      <c r="K27" s="26">
        <f>IF($AJ$7=0,0,IF($AJ$7=2,SUM(J26:K26),IF($AJ$7=3,SUM(I26:K26),IF($AJ$7=4,SUM(H26:K26),IF($AJ$7=5,SUM(G26:K26),IF($AJ$7=6,SUM(F26:K26),IF($AJ$7=7,SUM(E26:K26),IF($AJ$7=8,SUM(D26:K26),IF($AJ$7=9,SUM($C26:K26),IF($AJ$7=10,SUM($C26:K26)))))))))))</f>
        <v>79.970626496679159</v>
      </c>
      <c r="L27" s="26">
        <f>IF($AJ$7=0,0,IF($AJ$7=2,SUM(K26:L26),IF($AJ$7=3,SUM(J26:L26),IF($AJ$7=4,SUM(I26:L26),IF($AJ$7=5,SUM(H26:L26),IF($AJ$7=6,SUM(G26:L26),IF($AJ$7=7,SUM(F26:L26),IF($AJ$7=8,SUM(E26:L26),IF($AJ$7=9,SUM(D26:L26),IF($AJ$7=10,SUM($C26:L26)))))))))))</f>
        <v>89.567101676280657</v>
      </c>
      <c r="M27" s="27">
        <f>IF($AJ$7=0,0,IF($AJ$7=2,SUM(L26:M26),IF($AJ$7=3,SUM(K26:M26),IF($AJ$7=4,SUM(J26:M26),IF($AJ$7=5,SUM(I26:M26),IF($AJ$7=6,SUM(H26:M26),IF($AJ$7=7,SUM(G26:M26),IF($AJ$7=8,SUM(F26:M26),IF($AJ$7=9,SUM(E26:M26),IF($AJ$7=10,SUM($C26:M26)))))))))))</f>
        <v>100.31515387743434</v>
      </c>
      <c r="N27" s="57">
        <v>4</v>
      </c>
      <c r="Q27" s="69">
        <f>+Q24</f>
        <v>3.7632000000000003</v>
      </c>
      <c r="R27" s="69">
        <f>+Q27</f>
        <v>3.7632000000000003</v>
      </c>
      <c r="S27" s="69"/>
      <c r="T27" s="69"/>
      <c r="U27" s="69"/>
      <c r="V27" s="69"/>
      <c r="W27" s="69"/>
      <c r="X27" s="69"/>
      <c r="Y27" s="69"/>
      <c r="Z27" s="69"/>
      <c r="AA27" s="69"/>
      <c r="AI27" s="86"/>
    </row>
    <row r="28" spans="1:59" hidden="1" x14ac:dyDescent="0.2">
      <c r="A28" s="83"/>
      <c r="B28" s="3"/>
      <c r="C28" s="26" t="e">
        <f t="shared" ref="C28:M28" si="20">C25/$AJ$10</f>
        <v>#DIV/0!</v>
      </c>
      <c r="D28" s="26" t="e">
        <f t="shared" si="20"/>
        <v>#DIV/0!</v>
      </c>
      <c r="E28" s="26" t="e">
        <f t="shared" si="20"/>
        <v>#DIV/0!</v>
      </c>
      <c r="F28" s="26" t="e">
        <f t="shared" si="20"/>
        <v>#DIV/0!</v>
      </c>
      <c r="G28" s="26" t="e">
        <f t="shared" si="20"/>
        <v>#DIV/0!</v>
      </c>
      <c r="H28" s="26" t="e">
        <f t="shared" si="20"/>
        <v>#DIV/0!</v>
      </c>
      <c r="I28" s="26" t="e">
        <f t="shared" si="20"/>
        <v>#DIV/0!</v>
      </c>
      <c r="J28" s="26" t="e">
        <f t="shared" si="20"/>
        <v>#DIV/0!</v>
      </c>
      <c r="K28" s="26" t="e">
        <f t="shared" si="20"/>
        <v>#DIV/0!</v>
      </c>
      <c r="L28" s="26" t="e">
        <f t="shared" si="20"/>
        <v>#DIV/0!</v>
      </c>
      <c r="M28" s="27" t="e">
        <f t="shared" si="20"/>
        <v>#DIV/0!</v>
      </c>
      <c r="N28" s="57">
        <v>5</v>
      </c>
      <c r="R28" s="69">
        <f>+R24</f>
        <v>4.2147840000000008</v>
      </c>
      <c r="S28" s="69">
        <f>+R28</f>
        <v>4.2147840000000008</v>
      </c>
      <c r="T28" s="69">
        <f t="shared" ref="T28:AA33" si="21">+S28</f>
        <v>4.2147840000000008</v>
      </c>
      <c r="U28" s="69">
        <f t="shared" si="21"/>
        <v>4.2147840000000008</v>
      </c>
      <c r="V28" s="69">
        <f t="shared" si="21"/>
        <v>4.2147840000000008</v>
      </c>
      <c r="W28" s="69">
        <f>+V28</f>
        <v>4.2147840000000008</v>
      </c>
      <c r="X28" s="69">
        <f t="shared" si="19"/>
        <v>4.2147840000000008</v>
      </c>
      <c r="Y28" s="69">
        <f t="shared" si="19"/>
        <v>4.2147840000000008</v>
      </c>
      <c r="Z28" s="69">
        <f t="shared" si="19"/>
        <v>4.2147840000000008</v>
      </c>
      <c r="AA28" s="69">
        <f t="shared" si="19"/>
        <v>4.2147840000000008</v>
      </c>
    </row>
    <row r="29" spans="1:59" x14ac:dyDescent="0.2">
      <c r="A29" s="83"/>
      <c r="B29" s="3" t="str">
        <f>" - Amortization of "&amp;B6</f>
        <v xml:space="preserve"> - Amortization of Sales &amp; Marketing</v>
      </c>
      <c r="C29" s="26">
        <f>IF(AJ10=0,0,(C25/$AJ$10))</f>
        <v>0</v>
      </c>
      <c r="D29" s="26">
        <f>IF($AJ$10=0,0,IF($AJ$10=2,SUM($C28:D28),IF($AJ$10=3,SUM($C28:D28),IF($AJ$10=4,SUM($C28:D28),IF($AJ$10=5,SUM($C28:D28),IF($AJ$10=6,SUM($C28:D28),IF($AJ$10=7,SUM($C28:D28),IF($AJ$10=8,SUM($C$26:D28),IF($AJ$10=9,SUM($C28:D28),IF($AJ$10=10,SUM($C28:D28)))))))))))</f>
        <v>0</v>
      </c>
      <c r="E29" s="26">
        <f>IF($AJ$10=0,0,IF($AJ$10=2,SUM(D28:E28),IF($AJ$10=3,SUM($C28:E28),IF($AJ$10=4,SUM($C28:E28),IF($AJ$10=5,SUM($C28:E28),IF($AJ$10=6,SUM($C28:E28),IF($AJ$10=7,SUM($C28:E28),IF($AJ$10=8,SUM($C$26:E28),IF($AJ$10=9,SUM($C28:E28),IF($AJ$10=10,SUM($C28:E28)))))))))))</f>
        <v>0</v>
      </c>
      <c r="F29" s="26">
        <f>IF($AJ$10=0,0,IF($AJ$10=2,SUM(E28:F28),IF($AJ$10=3,SUM(D28:F28),IF($AJ$10=4,SUM($C28:F28),IF($AJ$10=5,SUM($C28:F28),IF($AJ$10=6,SUM($C28:F28),IF($AJ$10=7,SUM($C28:F28),IF($AJ$10=8,SUM($C$26:F28),IF($AJ$10=9,SUM($C28:F28),IF($AJ$10=10,SUM($C28:F28)))))))))))</f>
        <v>0</v>
      </c>
      <c r="G29" s="26">
        <f>IF($AJ$10=0,0,IF($AJ$10=2,SUM(F28:G28),IF($AJ$10=3,SUM(E28:G28),IF($AJ$10=4,SUM(D28:G28),IF($AJ$10=5,SUM($C28:G28),IF($AJ$10=6,SUM($C28:G28),IF($AJ$10=7,SUM($C28:G28),IF($AJ$10=8,SUM($C$26:G28),IF($AJ$10=9,SUM($C28:G28),IF($AJ$10=10,SUM($C28:G28)))))))))))</f>
        <v>0</v>
      </c>
      <c r="H29" s="26">
        <f>IF($AJ$10=0,0,IF($AJ$10=2,SUM(G28:H28),IF($AJ$10=3,SUM(F28:H28),IF($AJ$10=4,SUM(E28:H28),IF($AJ$10=5,SUM(D28:H28),IF($AJ$10=6,SUM($C28:H28),IF($AJ$10=7,SUM($C28:H28),IF($AJ$10=8,SUM($C$26:H28),IF($AJ$10=9,SUM($C28:H28),IF($AJ$10=10,SUM($C28:H28)))))))))))</f>
        <v>0</v>
      </c>
      <c r="I29" s="26">
        <f>IF($AJ$10=0,0,IF($AJ$10=2,SUM(H28:I28),IF($AJ$10=3,SUM(G28:I28),IF($AJ$10=4,SUM(F28:I28),IF($AJ$10=5,SUM(E28:I28),IF($AJ$10=6,SUM(D28:I28),IF($AJ$10=7,SUM($C28:I28),IF($AJ$10=8,SUM($C$26:I28),IF($AJ$10=9,SUM($C28:I28),IF($AJ$10=10,SUM($C28:I28)))))))))))</f>
        <v>0</v>
      </c>
      <c r="J29" s="26">
        <f>IF($AJ$10=0,0,IF($AJ$10=2,SUM(I28:J28),IF($AJ$10=3,SUM(H28:J28),IF($AJ$10=4,SUM(G28:J28),IF($AJ$10=5,SUM(F28:J28),IF($AJ$10=6,SUM(E28:J28),IF($AJ$10=7,SUM(D28:J28),IF($AJ$10=8,SUM($C$26:J28),IF($AJ$10=9,SUM($C28:J28),IF($AJ$10=10,SUM($C28:J28)))))))))))</f>
        <v>0</v>
      </c>
      <c r="K29" s="26">
        <f>IF($AJ$10=0,0,IF($AJ$10=2,SUM(J28:K28),IF($AJ$10=3,SUM(I28:K28),IF($AJ$10=4,SUM(H28:K28),IF($AJ$10=5,SUM(G28:K28),IF($AJ$10=6,SUM(F28:K28),IF($AJ$10=7,SUM(E28:K28),IF($AJ$10=8,SUM(D28:K28),IF($AJ$10=9,SUM($C28:K28),IF($AJ$10=10,SUM($C28:K28)))))))))))</f>
        <v>0</v>
      </c>
      <c r="L29" s="26">
        <f>IF($AJ$10=0,0,IF($AJ$10=2,SUM(K28:L28),IF($AJ$10=3,SUM(J28:L28),IF($AJ$10=4,SUM(I28:L28),IF($AJ$10=5,SUM(H28:L28),IF($AJ$10=6,SUM(G28:L28),IF($AJ$10=7,SUM(F28:L28),IF($AJ$10=8,SUM(E28:L28),IF($AJ$10=9,SUM(D28:L28),IF($AJ$10=10,SUM($C28:L28)))))))))))</f>
        <v>0</v>
      </c>
      <c r="M29" s="27">
        <f>IF($AJ$10=0,0,IF($AJ$10=2,SUM(L28:M28),IF($AJ$10=3,SUM(K28:M28),IF($AJ$10=4,SUM(J28:M28),IF($AJ$10=5,SUM(I28:M28),IF($AJ$10=6,SUM(H28:M28),IF($AJ$10=7,SUM(G28:M28),IF($AJ$10=8,SUM(F28:M28),IF($AJ$10=9,SUM(E28:M28),IF($AJ$10=10,SUM($C28:M28)))))))))))</f>
        <v>0</v>
      </c>
      <c r="S29" s="69">
        <f>+S24</f>
        <v>4.7205580800000018</v>
      </c>
      <c r="T29" s="69">
        <f>+S29</f>
        <v>4.7205580800000018</v>
      </c>
      <c r="U29" s="69">
        <f t="shared" si="21"/>
        <v>4.7205580800000018</v>
      </c>
      <c r="V29" s="69">
        <f t="shared" si="21"/>
        <v>4.7205580800000018</v>
      </c>
      <c r="W29" s="69">
        <f t="shared" si="21"/>
        <v>4.7205580800000018</v>
      </c>
      <c r="X29" s="69">
        <f>+W29</f>
        <v>4.7205580800000018</v>
      </c>
      <c r="Y29" s="69">
        <f t="shared" si="19"/>
        <v>4.7205580800000018</v>
      </c>
      <c r="Z29" s="69">
        <f t="shared" si="19"/>
        <v>4.7205580800000018</v>
      </c>
      <c r="AA29" s="69">
        <f t="shared" si="19"/>
        <v>4.7205580800000018</v>
      </c>
      <c r="AB29" s="69">
        <f t="shared" si="19"/>
        <v>4.7205580800000018</v>
      </c>
      <c r="AI29" s="86"/>
    </row>
    <row r="30" spans="1:59" x14ac:dyDescent="0.2">
      <c r="A30" s="83"/>
      <c r="B30" s="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T30" s="69">
        <f>+T24</f>
        <v>5.2870250496000022</v>
      </c>
      <c r="U30" s="69">
        <f>+T30</f>
        <v>5.2870250496000022</v>
      </c>
      <c r="V30" s="69">
        <f t="shared" si="21"/>
        <v>5.2870250496000022</v>
      </c>
      <c r="W30" s="69">
        <f t="shared" si="21"/>
        <v>5.2870250496000022</v>
      </c>
      <c r="X30" s="69">
        <f t="shared" si="21"/>
        <v>5.2870250496000022</v>
      </c>
      <c r="Y30" s="69">
        <f>+X30</f>
        <v>5.2870250496000022</v>
      </c>
      <c r="Z30" s="69">
        <f t="shared" si="19"/>
        <v>5.2870250496000022</v>
      </c>
      <c r="AA30" s="69">
        <f t="shared" si="19"/>
        <v>5.2870250496000022</v>
      </c>
      <c r="AB30" s="69">
        <f t="shared" si="19"/>
        <v>5.2870250496000022</v>
      </c>
      <c r="AC30" s="69">
        <f t="shared" si="19"/>
        <v>5.2870250496000022</v>
      </c>
      <c r="AI30" s="86"/>
    </row>
    <row r="31" spans="1:59" x14ac:dyDescent="0.2">
      <c r="A31" s="83"/>
      <c r="B31" s="3" t="str">
        <f>"Capitalized "&amp;B5&amp;" Asset"</f>
        <v>Capitalized R&amp;D Asset</v>
      </c>
      <c r="C31" s="26">
        <f>IF(AJ7=0,0,(C24-C27))</f>
        <v>32</v>
      </c>
      <c r="D31" s="26">
        <f>IF(AJ7=0,0,(C31+D24-D27))</f>
        <v>59.840000000000011</v>
      </c>
      <c r="E31" s="26">
        <f>IF(AJ7=0,0,(D31+E24-E27))</f>
        <v>83.020800000000008</v>
      </c>
      <c r="F31" s="26">
        <f>IF(AJ7=0,0,(E31+F24-F27))</f>
        <v>100.98329600000001</v>
      </c>
      <c r="G31" s="26">
        <f>IF(AJ7=0,0,(F31+G24-G27))</f>
        <v>113.10129152000002</v>
      </c>
      <c r="H31" s="26">
        <f>IF(AJ7=0,0,(G31+H24-H27))</f>
        <v>126.67344650240001</v>
      </c>
      <c r="I31" s="26">
        <f>IF(AJ7=0,0,(H31+I24-I27))</f>
        <v>141.87426008268801</v>
      </c>
      <c r="J31" s="26">
        <f>IF(AJ7=0,0,(I31+J24-J27))</f>
        <v>158.89917129261056</v>
      </c>
      <c r="K31" s="26">
        <f>IF(AJ7=0,0,(J31+K24-K27))</f>
        <v>177.96707184772382</v>
      </c>
      <c r="L31" s="26">
        <f>IF(AJ7=0,0,(K31+L24-L27))</f>
        <v>199.32312046945074</v>
      </c>
      <c r="M31" s="27">
        <f>IF(AJ7=0,0,(L31+M24-M27))</f>
        <v>223.24189492578489</v>
      </c>
      <c r="U31" s="69">
        <f>+U24</f>
        <v>5.9214680555520021</v>
      </c>
      <c r="V31" s="69">
        <f>+U31</f>
        <v>5.9214680555520021</v>
      </c>
      <c r="W31" s="69">
        <f t="shared" si="21"/>
        <v>5.9214680555520021</v>
      </c>
      <c r="X31" s="69">
        <f t="shared" si="21"/>
        <v>5.9214680555520021</v>
      </c>
      <c r="Y31" s="69">
        <f t="shared" si="21"/>
        <v>5.9214680555520021</v>
      </c>
      <c r="Z31" s="69">
        <f>+Y31</f>
        <v>5.9214680555520021</v>
      </c>
      <c r="AA31" s="69">
        <f t="shared" si="19"/>
        <v>5.9214680555520021</v>
      </c>
      <c r="AB31" s="69">
        <f t="shared" si="19"/>
        <v>5.9214680555520021</v>
      </c>
      <c r="AC31" s="69">
        <f t="shared" si="19"/>
        <v>5.9214680555520021</v>
      </c>
      <c r="AD31" s="69">
        <f t="shared" si="19"/>
        <v>5.9214680555520021</v>
      </c>
      <c r="AU31" s="13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9" x14ac:dyDescent="0.2">
      <c r="A32" s="83"/>
      <c r="B32" s="3" t="str">
        <f>"Capitalized "&amp;B6&amp;" Asset"</f>
        <v>Capitalized Sales &amp; Marketing Asset</v>
      </c>
      <c r="C32" s="26">
        <f>IF($AJ$10=0,0,(C25-C29))</f>
        <v>0</v>
      </c>
      <c r="D32" s="26">
        <f>IF($AJ$10=0,0,(C32+D25-D29))</f>
        <v>0</v>
      </c>
      <c r="E32" s="26">
        <f t="shared" ref="E32:M32" si="22">IF($AJ$10=0,0,(D32+E25-E29))</f>
        <v>0</v>
      </c>
      <c r="F32" s="26">
        <f t="shared" si="22"/>
        <v>0</v>
      </c>
      <c r="G32" s="26">
        <f t="shared" si="22"/>
        <v>0</v>
      </c>
      <c r="H32" s="26">
        <f t="shared" si="22"/>
        <v>0</v>
      </c>
      <c r="I32" s="26">
        <f t="shared" si="22"/>
        <v>0</v>
      </c>
      <c r="J32" s="26">
        <f t="shared" si="22"/>
        <v>0</v>
      </c>
      <c r="K32" s="26">
        <f t="shared" si="22"/>
        <v>0</v>
      </c>
      <c r="L32" s="26">
        <f t="shared" si="22"/>
        <v>0</v>
      </c>
      <c r="M32" s="27">
        <f t="shared" si="22"/>
        <v>0</v>
      </c>
      <c r="V32" s="69">
        <f>+V24</f>
        <v>6.6320442222182425</v>
      </c>
      <c r="W32" s="69">
        <f>+V32</f>
        <v>6.6320442222182425</v>
      </c>
      <c r="X32" s="69">
        <f t="shared" si="21"/>
        <v>6.6320442222182425</v>
      </c>
      <c r="Y32" s="69">
        <f t="shared" si="21"/>
        <v>6.6320442222182425</v>
      </c>
      <c r="Z32" s="69">
        <f t="shared" si="21"/>
        <v>6.6320442222182425</v>
      </c>
      <c r="AA32" s="69">
        <f>+Z32</f>
        <v>6.6320442222182425</v>
      </c>
      <c r="AB32" s="69">
        <f t="shared" si="19"/>
        <v>6.6320442222182425</v>
      </c>
      <c r="AC32" s="69">
        <f t="shared" si="19"/>
        <v>6.6320442222182425</v>
      </c>
      <c r="AD32" s="69">
        <f t="shared" si="19"/>
        <v>6.6320442222182425</v>
      </c>
      <c r="AE32" s="69">
        <f t="shared" si="19"/>
        <v>6.6320442222182425</v>
      </c>
      <c r="AU32" s="16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x14ac:dyDescent="0.2">
      <c r="A33" s="84"/>
      <c r="B33" s="3" t="s">
        <v>9</v>
      </c>
      <c r="C33" s="26">
        <f>SUM(C31:C32)</f>
        <v>32</v>
      </c>
      <c r="D33" s="26">
        <f t="shared" ref="D33:M33" si="23">SUM(D31:D32)</f>
        <v>59.840000000000011</v>
      </c>
      <c r="E33" s="26">
        <f t="shared" si="23"/>
        <v>83.020800000000008</v>
      </c>
      <c r="F33" s="26">
        <f t="shared" si="23"/>
        <v>100.98329600000001</v>
      </c>
      <c r="G33" s="26">
        <f t="shared" si="23"/>
        <v>113.10129152000002</v>
      </c>
      <c r="H33" s="26">
        <f t="shared" si="23"/>
        <v>126.67344650240001</v>
      </c>
      <c r="I33" s="26">
        <f t="shared" si="23"/>
        <v>141.87426008268801</v>
      </c>
      <c r="J33" s="26">
        <f t="shared" si="23"/>
        <v>158.89917129261056</v>
      </c>
      <c r="K33" s="26">
        <f t="shared" si="23"/>
        <v>177.96707184772382</v>
      </c>
      <c r="L33" s="26">
        <f t="shared" si="23"/>
        <v>199.32312046945074</v>
      </c>
      <c r="M33" s="27">
        <f t="shared" si="23"/>
        <v>223.24189492578489</v>
      </c>
      <c r="W33" s="69">
        <f>+W$24</f>
        <v>7.4278895288844327</v>
      </c>
      <c r="X33" s="69">
        <f>+W33</f>
        <v>7.4278895288844327</v>
      </c>
      <c r="Y33" s="69">
        <f t="shared" si="21"/>
        <v>7.4278895288844327</v>
      </c>
      <c r="Z33" s="69">
        <f t="shared" si="21"/>
        <v>7.4278895288844327</v>
      </c>
      <c r="AA33" s="69">
        <f t="shared" si="21"/>
        <v>7.4278895288844327</v>
      </c>
      <c r="AB33" s="69">
        <f>+AA33</f>
        <v>7.4278895288844327</v>
      </c>
      <c r="AC33" s="69">
        <f t="shared" si="19"/>
        <v>7.4278895288844327</v>
      </c>
      <c r="AD33" s="69">
        <f t="shared" si="19"/>
        <v>7.4278895288844327</v>
      </c>
      <c r="AE33" s="69">
        <f t="shared" si="19"/>
        <v>7.4278895288844327</v>
      </c>
      <c r="AF33" s="69">
        <f t="shared" si="19"/>
        <v>7.4278895288844327</v>
      </c>
      <c r="AU33" s="18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1:58" x14ac:dyDescent="0.2">
      <c r="A34" s="84"/>
      <c r="B34" s="3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33"/>
      <c r="AU34" s="18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1:58" x14ac:dyDescent="0.2">
      <c r="A35" s="82"/>
      <c r="B35" s="52" t="s">
        <v>31</v>
      </c>
      <c r="C35" s="43">
        <f>IF(AND($AJ$7=0,$AJ$10=0),C23,IF($AJ$7=0,C23+C25-C27-C29,IF($AJ$10=0,C23+C24-C27-C29,C23+C24+C25-C27-C29)))</f>
        <v>57</v>
      </c>
      <c r="D35" s="43">
        <f t="shared" ref="D35:AH35" si="24">IF(AND($AJ$7=0,$AJ$10=0),D23,IF($AJ$7=0,D23+D25-D27-D29,IF($AJ$10=0,D23+D24-D27-D29,D23+D24+D25-D27-D29)))</f>
        <v>55.840000000000011</v>
      </c>
      <c r="E35" s="43">
        <f t="shared" si="24"/>
        <v>54.540800000000011</v>
      </c>
      <c r="F35" s="43">
        <f t="shared" si="24"/>
        <v>53.085696000000027</v>
      </c>
      <c r="G35" s="43">
        <f t="shared" si="24"/>
        <v>51.455979520000014</v>
      </c>
      <c r="H35" s="43">
        <f t="shared" si="24"/>
        <v>57.630697062400003</v>
      </c>
      <c r="I35" s="43">
        <f t="shared" si="24"/>
        <v>64.546380709888012</v>
      </c>
      <c r="J35" s="43">
        <f t="shared" si="24"/>
        <v>72.291946395074618</v>
      </c>
      <c r="K35" s="43">
        <f t="shared" si="24"/>
        <v>80.966979962483578</v>
      </c>
      <c r="L35" s="43">
        <f t="shared" si="24"/>
        <v>90.6830175579816</v>
      </c>
      <c r="M35" s="43">
        <f t="shared" si="24"/>
        <v>101.56497966493941</v>
      </c>
      <c r="N35" s="43">
        <f t="shared" si="24"/>
        <v>-3</v>
      </c>
      <c r="O35" s="43">
        <f t="shared" si="24"/>
        <v>4</v>
      </c>
      <c r="P35" s="43">
        <f t="shared" si="24"/>
        <v>5.36</v>
      </c>
      <c r="Q35" s="43">
        <f t="shared" si="24"/>
        <v>3</v>
      </c>
      <c r="R35" s="43">
        <f t="shared" si="24"/>
        <v>4.4515840000000013</v>
      </c>
      <c r="S35" s="43">
        <f t="shared" si="24"/>
        <v>5</v>
      </c>
      <c r="T35" s="43">
        <f t="shared" si="24"/>
        <v>6.5664669696000004</v>
      </c>
      <c r="U35" s="43">
        <f t="shared" si="24"/>
        <v>8.2009099755519994</v>
      </c>
      <c r="V35" s="43">
        <f t="shared" si="24"/>
        <v>9.9114861422182408</v>
      </c>
      <c r="W35" s="43">
        <f t="shared" si="24"/>
        <v>11.70733144888443</v>
      </c>
      <c r="X35" s="43">
        <f t="shared" si="24"/>
        <v>13.598678192350564</v>
      </c>
      <c r="Y35" s="43">
        <f t="shared" si="24"/>
        <v>15.596986545032633</v>
      </c>
      <c r="Z35" s="43">
        <f t="shared" si="24"/>
        <v>-4.7205580800000018</v>
      </c>
      <c r="AA35" s="43">
        <f t="shared" si="24"/>
        <v>-4.7205580800000018</v>
      </c>
      <c r="AB35" s="43">
        <f t="shared" si="24"/>
        <v>-4.7205580800000018</v>
      </c>
      <c r="AC35" s="43">
        <f t="shared" si="24"/>
        <v>0</v>
      </c>
      <c r="AD35" s="43">
        <f t="shared" si="24"/>
        <v>0</v>
      </c>
      <c r="AE35" s="43">
        <f t="shared" si="24"/>
        <v>0</v>
      </c>
      <c r="AF35" s="43">
        <f t="shared" si="24"/>
        <v>0</v>
      </c>
      <c r="AG35" s="43">
        <f t="shared" si="24"/>
        <v>0</v>
      </c>
      <c r="AH35" s="43">
        <f t="shared" si="24"/>
        <v>0</v>
      </c>
      <c r="AU35" s="19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1:58" x14ac:dyDescent="0.2">
      <c r="A36" s="82">
        <v>0.33</v>
      </c>
      <c r="B36" s="3" t="s">
        <v>6</v>
      </c>
      <c r="C36" s="26">
        <f t="shared" ref="C36:M36" si="25">C$7*$A36</f>
        <v>8.25</v>
      </c>
      <c r="D36" s="26">
        <f t="shared" si="25"/>
        <v>9.24</v>
      </c>
      <c r="E36" s="26">
        <f t="shared" si="25"/>
        <v>10.348800000000001</v>
      </c>
      <c r="F36" s="26">
        <f t="shared" si="25"/>
        <v>11.590656000000005</v>
      </c>
      <c r="G36" s="26">
        <f t="shared" si="25"/>
        <v>12.981534720000003</v>
      </c>
      <c r="H36" s="26">
        <f t="shared" si="25"/>
        <v>14.539318886399998</v>
      </c>
      <c r="I36" s="26">
        <f t="shared" si="25"/>
        <v>16.284037152768001</v>
      </c>
      <c r="J36" s="26">
        <f t="shared" si="25"/>
        <v>18.238121611100169</v>
      </c>
      <c r="K36" s="26">
        <f t="shared" si="25"/>
        <v>20.426696204432197</v>
      </c>
      <c r="L36" s="26">
        <f t="shared" si="25"/>
        <v>22.877899748964051</v>
      </c>
      <c r="M36" s="27">
        <f t="shared" si="25"/>
        <v>25.62324771883975</v>
      </c>
      <c r="AU36" s="62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</row>
    <row r="37" spans="1:58" x14ac:dyDescent="0.2">
      <c r="A37" s="75"/>
      <c r="B37" s="52" t="s">
        <v>7</v>
      </c>
      <c r="C37" s="43">
        <f>C35-C36</f>
        <v>48.75</v>
      </c>
      <c r="D37" s="43">
        <f t="shared" ref="D37:M37" si="26">D35-D36</f>
        <v>46.600000000000009</v>
      </c>
      <c r="E37" s="43">
        <f t="shared" si="26"/>
        <v>44.192000000000007</v>
      </c>
      <c r="F37" s="43">
        <f t="shared" si="26"/>
        <v>41.495040000000024</v>
      </c>
      <c r="G37" s="43">
        <f t="shared" si="26"/>
        <v>38.474444800000015</v>
      </c>
      <c r="H37" s="43">
        <f t="shared" si="26"/>
        <v>43.091378176000006</v>
      </c>
      <c r="I37" s="43">
        <f t="shared" si="26"/>
        <v>48.262343557120012</v>
      </c>
      <c r="J37" s="43">
        <f t="shared" si="26"/>
        <v>54.053824783974449</v>
      </c>
      <c r="K37" s="43">
        <f t="shared" si="26"/>
        <v>60.54028375805138</v>
      </c>
      <c r="L37" s="43">
        <f t="shared" si="26"/>
        <v>67.805117809017545</v>
      </c>
      <c r="M37" s="44">
        <f t="shared" si="26"/>
        <v>75.941731946099665</v>
      </c>
      <c r="AU37" s="18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x14ac:dyDescent="0.2">
      <c r="A38" s="75"/>
      <c r="B38" s="3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33"/>
      <c r="AU38" s="18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1:58" x14ac:dyDescent="0.2">
      <c r="A39" s="75"/>
      <c r="B39" s="3" t="s">
        <v>10</v>
      </c>
      <c r="C39" s="26">
        <f t="shared" ref="C39:M39" si="27">C15</f>
        <v>237</v>
      </c>
      <c r="D39" s="26">
        <f t="shared" si="27"/>
        <v>258.33000000000004</v>
      </c>
      <c r="E39" s="26">
        <f t="shared" si="27"/>
        <v>281.57970000000006</v>
      </c>
      <c r="F39" s="26">
        <f t="shared" si="27"/>
        <v>306.92187300000006</v>
      </c>
      <c r="G39" s="26">
        <f t="shared" si="27"/>
        <v>334.54484157000007</v>
      </c>
      <c r="H39" s="26">
        <f t="shared" si="27"/>
        <v>364.65387731130011</v>
      </c>
      <c r="I39" s="26">
        <f t="shared" si="27"/>
        <v>397.47272626931715</v>
      </c>
      <c r="J39" s="26">
        <f t="shared" si="27"/>
        <v>433.24527163355572</v>
      </c>
      <c r="K39" s="26">
        <f t="shared" si="27"/>
        <v>472.23734608057578</v>
      </c>
      <c r="L39" s="26">
        <f t="shared" si="27"/>
        <v>514.7387072278276</v>
      </c>
      <c r="M39" s="27">
        <f t="shared" si="27"/>
        <v>561.06519087833215</v>
      </c>
      <c r="AU39" s="18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1:58" x14ac:dyDescent="0.2">
      <c r="A40" s="75"/>
      <c r="B40" s="3" t="str">
        <f t="shared" ref="B40:M40" si="28">B33</f>
        <v>Total Capitalized Assets</v>
      </c>
      <c r="C40" s="26">
        <f t="shared" si="28"/>
        <v>32</v>
      </c>
      <c r="D40" s="26">
        <f t="shared" si="28"/>
        <v>59.840000000000011</v>
      </c>
      <c r="E40" s="26">
        <f t="shared" si="28"/>
        <v>83.020800000000008</v>
      </c>
      <c r="F40" s="26">
        <f t="shared" si="28"/>
        <v>100.98329600000001</v>
      </c>
      <c r="G40" s="26">
        <f t="shared" si="28"/>
        <v>113.10129152000002</v>
      </c>
      <c r="H40" s="26">
        <f t="shared" si="28"/>
        <v>126.67344650240001</v>
      </c>
      <c r="I40" s="26">
        <f t="shared" si="28"/>
        <v>141.87426008268801</v>
      </c>
      <c r="J40" s="26">
        <f t="shared" si="28"/>
        <v>158.89917129261056</v>
      </c>
      <c r="K40" s="26">
        <f t="shared" si="28"/>
        <v>177.96707184772382</v>
      </c>
      <c r="L40" s="26">
        <f t="shared" si="28"/>
        <v>199.32312046945074</v>
      </c>
      <c r="M40" s="27">
        <f t="shared" si="28"/>
        <v>223.24189492578489</v>
      </c>
      <c r="O40" s="69">
        <f t="shared" ref="O40:Y40" si="29">SUM(O25:O38)</f>
        <v>7</v>
      </c>
      <c r="P40" s="69">
        <f t="shared" si="29"/>
        <v>11.72</v>
      </c>
      <c r="Q40" s="69">
        <f t="shared" si="29"/>
        <v>10.123200000000001</v>
      </c>
      <c r="R40" s="69">
        <f t="shared" si="29"/>
        <v>12.429568000000003</v>
      </c>
      <c r="S40" s="69">
        <f t="shared" si="29"/>
        <v>13.935342080000002</v>
      </c>
      <c r="T40" s="69">
        <f t="shared" si="29"/>
        <v>20.788834099200002</v>
      </c>
      <c r="U40" s="69">
        <f t="shared" si="29"/>
        <v>28.344745160704008</v>
      </c>
      <c r="V40" s="69">
        <f t="shared" si="29"/>
        <v>36.687365549588492</v>
      </c>
      <c r="W40" s="69">
        <f t="shared" si="29"/>
        <v>45.911100385139115</v>
      </c>
      <c r="X40" s="69">
        <f t="shared" si="29"/>
        <v>47.802447128605245</v>
      </c>
      <c r="Y40" s="69">
        <f t="shared" si="29"/>
        <v>49.800755481287318</v>
      </c>
      <c r="AU40" s="19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1:58" x14ac:dyDescent="0.2">
      <c r="A41" s="75"/>
      <c r="B41" s="52" t="str">
        <f>"Invested Capital Plus "&amp;B40</f>
        <v>Invested Capital Plus Total Capitalized Assets</v>
      </c>
      <c r="C41" s="43">
        <f>C40+C39</f>
        <v>269</v>
      </c>
      <c r="D41" s="43">
        <f t="shared" ref="D41:M41" si="30">D40+D39</f>
        <v>318.17000000000007</v>
      </c>
      <c r="E41" s="43">
        <f t="shared" si="30"/>
        <v>364.60050000000007</v>
      </c>
      <c r="F41" s="43">
        <f t="shared" si="30"/>
        <v>407.90516900000006</v>
      </c>
      <c r="G41" s="43">
        <f t="shared" si="30"/>
        <v>447.64613309000009</v>
      </c>
      <c r="H41" s="43">
        <f t="shared" si="30"/>
        <v>491.3273238137001</v>
      </c>
      <c r="I41" s="43">
        <f t="shared" si="30"/>
        <v>539.34698635200516</v>
      </c>
      <c r="J41" s="43">
        <f t="shared" si="30"/>
        <v>592.14444292616622</v>
      </c>
      <c r="K41" s="43">
        <f t="shared" si="30"/>
        <v>650.20441792829956</v>
      </c>
      <c r="L41" s="43">
        <f t="shared" si="30"/>
        <v>714.06182769727832</v>
      </c>
      <c r="M41" s="44">
        <f t="shared" si="30"/>
        <v>784.30708580411704</v>
      </c>
      <c r="O41" s="69">
        <f t="shared" ref="O41:Y41" si="31">+O40-C29</f>
        <v>7</v>
      </c>
      <c r="P41" s="69">
        <f t="shared" si="31"/>
        <v>11.72</v>
      </c>
      <c r="Q41" s="69">
        <f t="shared" si="31"/>
        <v>10.123200000000001</v>
      </c>
      <c r="R41" s="69">
        <f t="shared" si="31"/>
        <v>12.429568000000003</v>
      </c>
      <c r="S41" s="69">
        <f t="shared" si="31"/>
        <v>13.935342080000002</v>
      </c>
      <c r="T41" s="69">
        <f t="shared" si="31"/>
        <v>20.788834099200002</v>
      </c>
      <c r="U41" s="69">
        <f t="shared" si="31"/>
        <v>28.344745160704008</v>
      </c>
      <c r="V41" s="69">
        <f t="shared" si="31"/>
        <v>36.687365549588492</v>
      </c>
      <c r="W41" s="69">
        <f t="shared" si="31"/>
        <v>45.911100385139115</v>
      </c>
      <c r="X41" s="69">
        <f t="shared" si="31"/>
        <v>47.802447128605245</v>
      </c>
      <c r="Y41" s="69">
        <f t="shared" si="31"/>
        <v>49.800755481287318</v>
      </c>
      <c r="AU41" s="18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1:58" x14ac:dyDescent="0.2">
      <c r="A42" s="75"/>
      <c r="B42" s="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  <c r="AU42" s="18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1:58" x14ac:dyDescent="0.2">
      <c r="A43" s="75"/>
      <c r="B43" s="52" t="s">
        <v>30</v>
      </c>
      <c r="C43" s="53">
        <f>C37/C41</f>
        <v>0.18122676579925651</v>
      </c>
      <c r="D43" s="53">
        <f t="shared" ref="D43:M43" si="32">D37/D41</f>
        <v>0.14646258289593614</v>
      </c>
      <c r="E43" s="53">
        <f t="shared" si="32"/>
        <v>0.1212066357561221</v>
      </c>
      <c r="F43" s="53">
        <f t="shared" si="32"/>
        <v>0.10172717374905346</v>
      </c>
      <c r="G43" s="53">
        <f t="shared" si="32"/>
        <v>8.5948346151053776E-2</v>
      </c>
      <c r="H43" s="53">
        <f t="shared" si="32"/>
        <v>8.7704013368365516E-2</v>
      </c>
      <c r="I43" s="53">
        <f t="shared" si="32"/>
        <v>8.9482920602844643E-2</v>
      </c>
      <c r="J43" s="53">
        <f t="shared" si="32"/>
        <v>9.1284863735036956E-2</v>
      </c>
      <c r="K43" s="53">
        <f t="shared" si="32"/>
        <v>9.3109616128027262E-2</v>
      </c>
      <c r="L43" s="53">
        <f t="shared" si="32"/>
        <v>9.4956928348455372E-2</v>
      </c>
      <c r="M43" s="54">
        <f t="shared" si="32"/>
        <v>9.6826527925907749E-2</v>
      </c>
      <c r="AU43" s="19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x14ac:dyDescent="0.2">
      <c r="A44" s="75"/>
      <c r="B44" s="3" t="s">
        <v>14</v>
      </c>
      <c r="C44" s="4">
        <f t="shared" ref="C44:M44" si="33">(C43-$AJ$13)*C41</f>
        <v>29.919999999999998</v>
      </c>
      <c r="D44" s="4">
        <f t="shared" si="33"/>
        <v>24.328100000000006</v>
      </c>
      <c r="E44" s="4">
        <f t="shared" si="33"/>
        <v>18.669964999999998</v>
      </c>
      <c r="F44" s="4">
        <f t="shared" si="33"/>
        <v>12.941678170000015</v>
      </c>
      <c r="G44" s="4">
        <f t="shared" si="33"/>
        <v>7.1392154837000064</v>
      </c>
      <c r="H44" s="4">
        <f t="shared" si="33"/>
        <v>8.6984655090409966</v>
      </c>
      <c r="I44" s="4">
        <f t="shared" si="33"/>
        <v>10.508054512479646</v>
      </c>
      <c r="J44" s="4">
        <f t="shared" si="33"/>
        <v>12.603713779142812</v>
      </c>
      <c r="K44" s="4">
        <f t="shared" si="33"/>
        <v>15.025974503070405</v>
      </c>
      <c r="L44" s="4">
        <f t="shared" si="33"/>
        <v>17.820789870208056</v>
      </c>
      <c r="M44" s="5">
        <f t="shared" si="33"/>
        <v>21.040235939811467</v>
      </c>
      <c r="AU44" s="19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</row>
    <row r="45" spans="1:58" x14ac:dyDescent="0.2">
      <c r="A45" s="75"/>
      <c r="B45" s="3" t="s">
        <v>15</v>
      </c>
      <c r="C45" s="37">
        <f t="shared" ref="C45:M45" si="34">C37/C3</f>
        <v>0.48749999999999999</v>
      </c>
      <c r="D45" s="37">
        <f t="shared" si="34"/>
        <v>0.41607142857142859</v>
      </c>
      <c r="E45" s="37">
        <f t="shared" si="34"/>
        <v>0.35229591836734692</v>
      </c>
      <c r="F45" s="37">
        <f t="shared" si="34"/>
        <v>0.29535349854227411</v>
      </c>
      <c r="G45" s="37">
        <f t="shared" si="34"/>
        <v>0.24451205226988756</v>
      </c>
      <c r="H45" s="37">
        <f t="shared" si="34"/>
        <v>0.24451205226988748</v>
      </c>
      <c r="I45" s="37">
        <f t="shared" si="34"/>
        <v>0.24451205226988751</v>
      </c>
      <c r="J45" s="37">
        <f t="shared" si="34"/>
        <v>0.24451205226988765</v>
      </c>
      <c r="K45" s="37">
        <f t="shared" si="34"/>
        <v>0.24451205226988762</v>
      </c>
      <c r="L45" s="37">
        <f t="shared" si="34"/>
        <v>0.24451205226988759</v>
      </c>
      <c r="M45" s="38">
        <f t="shared" si="34"/>
        <v>0.24451205226988759</v>
      </c>
      <c r="AU45" s="18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</row>
    <row r="46" spans="1:58" x14ac:dyDescent="0.2">
      <c r="A46" s="75"/>
      <c r="B46" s="3" t="s">
        <v>16</v>
      </c>
      <c r="C46" s="39">
        <f t="shared" ref="C46:M46" si="35">C3/C41</f>
        <v>0.37174721189591076</v>
      </c>
      <c r="D46" s="39">
        <f t="shared" si="35"/>
        <v>0.35201307477134863</v>
      </c>
      <c r="E46" s="39">
        <f t="shared" si="35"/>
        <v>0.34404780026357618</v>
      </c>
      <c r="F46" s="39">
        <f t="shared" si="35"/>
        <v>0.34442515240595056</v>
      </c>
      <c r="G46" s="39">
        <f t="shared" si="35"/>
        <v>0.35150965096880255</v>
      </c>
      <c r="H46" s="39">
        <f t="shared" si="35"/>
        <v>0.35868994004254479</v>
      </c>
      <c r="I46" s="39">
        <f t="shared" si="35"/>
        <v>0.36596527562606684</v>
      </c>
      <c r="J46" s="39">
        <f t="shared" si="35"/>
        <v>0.37333482291612557</v>
      </c>
      <c r="K46" s="39">
        <f t="shared" si="35"/>
        <v>0.38079765501806301</v>
      </c>
      <c r="L46" s="39">
        <f t="shared" si="35"/>
        <v>0.3883527518048222</v>
      </c>
      <c r="M46" s="40">
        <f t="shared" si="35"/>
        <v>0.39599899893291368</v>
      </c>
      <c r="AU46" s="18"/>
      <c r="AV46" s="61"/>
      <c r="AW46" s="22"/>
      <c r="AX46" s="22"/>
      <c r="AY46" s="22"/>
      <c r="AZ46" s="22"/>
      <c r="BA46" s="22"/>
      <c r="BB46" s="15"/>
      <c r="BC46" s="15"/>
      <c r="BD46" s="15"/>
      <c r="BE46" s="15"/>
      <c r="BF46" s="15"/>
    </row>
    <row r="47" spans="1:58" x14ac:dyDescent="0.2">
      <c r="A47" s="66"/>
      <c r="B47" s="55" t="s">
        <v>29</v>
      </c>
      <c r="C47" s="47"/>
      <c r="D47" s="47">
        <f>D37-(D41-C41)</f>
        <v>-2.5700000000000642</v>
      </c>
      <c r="E47" s="47">
        <f t="shared" ref="E47:M47" si="36">E37-(E41-D41)</f>
        <v>-2.2384999999999877</v>
      </c>
      <c r="F47" s="47">
        <f t="shared" si="36"/>
        <v>-1.8096289999999655</v>
      </c>
      <c r="G47" s="47">
        <f t="shared" si="36"/>
        <v>-1.2665192900000193</v>
      </c>
      <c r="H47" s="47">
        <f t="shared" si="36"/>
        <v>-0.58981254770000646</v>
      </c>
      <c r="I47" s="47">
        <f t="shared" si="36"/>
        <v>0.24268101881495596</v>
      </c>
      <c r="J47" s="47">
        <f t="shared" si="36"/>
        <v>1.2563682098133881</v>
      </c>
      <c r="K47" s="47">
        <f t="shared" si="36"/>
        <v>2.4803087559180383</v>
      </c>
      <c r="L47" s="47">
        <f t="shared" si="36"/>
        <v>3.9477080400387905</v>
      </c>
      <c r="M47" s="48">
        <f t="shared" si="36"/>
        <v>5.6964738392609462</v>
      </c>
      <c r="N47" s="67">
        <f t="shared" ref="N47:AH47" si="37">N40-(N42-M42)</f>
        <v>0</v>
      </c>
      <c r="O47" s="67">
        <f t="shared" si="37"/>
        <v>7</v>
      </c>
      <c r="P47" s="67">
        <f t="shared" si="37"/>
        <v>11.72</v>
      </c>
      <c r="Q47" s="67">
        <f t="shared" si="37"/>
        <v>10.123200000000001</v>
      </c>
      <c r="R47" s="67">
        <f t="shared" si="37"/>
        <v>12.429568000000003</v>
      </c>
      <c r="S47" s="67">
        <f t="shared" si="37"/>
        <v>13.935342080000002</v>
      </c>
      <c r="T47" s="67">
        <f t="shared" si="37"/>
        <v>20.788834099200002</v>
      </c>
      <c r="U47" s="67">
        <f t="shared" si="37"/>
        <v>28.344745160704008</v>
      </c>
      <c r="V47" s="67">
        <f t="shared" si="37"/>
        <v>36.687365549588492</v>
      </c>
      <c r="W47" s="67">
        <f t="shared" si="37"/>
        <v>45.911100385139115</v>
      </c>
      <c r="X47" s="67">
        <f t="shared" si="37"/>
        <v>47.802447128605245</v>
      </c>
      <c r="Y47" s="67">
        <f t="shared" si="37"/>
        <v>49.800755481287318</v>
      </c>
      <c r="Z47" s="67">
        <f t="shared" si="37"/>
        <v>0</v>
      </c>
      <c r="AA47" s="67">
        <f t="shared" si="37"/>
        <v>0</v>
      </c>
      <c r="AB47" s="67">
        <f t="shared" si="37"/>
        <v>0</v>
      </c>
      <c r="AC47" s="67">
        <f t="shared" si="37"/>
        <v>0</v>
      </c>
      <c r="AD47" s="67">
        <f t="shared" si="37"/>
        <v>0</v>
      </c>
      <c r="AE47" s="67">
        <f t="shared" si="37"/>
        <v>0</v>
      </c>
      <c r="AF47" s="67">
        <f t="shared" si="37"/>
        <v>0</v>
      </c>
      <c r="AG47" s="67">
        <f t="shared" si="37"/>
        <v>0</v>
      </c>
      <c r="AH47" s="67">
        <f t="shared" si="37"/>
        <v>0</v>
      </c>
    </row>
    <row r="48" spans="1:58" x14ac:dyDescent="0.2">
      <c r="A48" s="75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58" x14ac:dyDescent="0.2">
      <c r="A49" s="85" t="s">
        <v>38</v>
      </c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AU49" s="16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</row>
    <row r="50" spans="1:58" x14ac:dyDescent="0.2">
      <c r="A50" s="75"/>
      <c r="B50" s="24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AU50" s="18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1:58" x14ac:dyDescent="0.2">
      <c r="A51" s="66"/>
      <c r="B51" s="2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AU51" s="18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1:58" x14ac:dyDescent="0.2">
      <c r="A52" s="66"/>
      <c r="B52" s="2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AU52" s="18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1:58" x14ac:dyDescent="0.2">
      <c r="A53" s="75"/>
      <c r="B53" s="2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AU53" s="18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1:58" x14ac:dyDescent="0.2">
      <c r="A54" s="75"/>
      <c r="B54" s="2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AU54" s="19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1:58" x14ac:dyDescent="0.2">
      <c r="A55" s="75"/>
      <c r="B55" s="2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AU55" s="62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</row>
    <row r="56" spans="1:58" x14ac:dyDescent="0.2">
      <c r="A56" s="75"/>
      <c r="B56" s="2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AU56" s="18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</row>
    <row r="57" spans="1:58" x14ac:dyDescent="0.2">
      <c r="A57" s="75"/>
      <c r="B57" s="24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AU57" s="18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</row>
    <row r="58" spans="1:58" x14ac:dyDescent="0.2">
      <c r="A58" s="75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</row>
    <row r="59" spans="1:58" x14ac:dyDescent="0.2">
      <c r="A59" s="75"/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AU59" s="18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</row>
    <row r="60" spans="1:58" x14ac:dyDescent="0.2">
      <c r="A60" s="75"/>
      <c r="B60" s="2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AU60" s="18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1:58" x14ac:dyDescent="0.2">
      <c r="A61" s="75"/>
      <c r="B61" s="24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AU61" s="19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</row>
    <row r="62" spans="1:58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AU62" s="19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</row>
    <row r="63" spans="1:58" x14ac:dyDescent="0.2">
      <c r="A63" s="59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U63" s="18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</row>
    <row r="64" spans="1:58" x14ac:dyDescent="0.2">
      <c r="AU64" s="18"/>
      <c r="AV64" s="61"/>
      <c r="AW64" s="22"/>
      <c r="AX64" s="22"/>
      <c r="AY64" s="22"/>
      <c r="AZ64" s="22"/>
      <c r="BA64" s="22"/>
      <c r="BB64" s="15"/>
      <c r="BC64" s="15"/>
      <c r="BD64" s="15"/>
      <c r="BE64" s="15"/>
      <c r="BF64" s="15"/>
    </row>
    <row r="65" spans="1:58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58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58" x14ac:dyDescent="0.2">
      <c r="A67" s="5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58" x14ac:dyDescent="0.2">
      <c r="A68" s="5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AU68" s="16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</row>
    <row r="69" spans="1:58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AU69" s="18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1:58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AU70" s="18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1:58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AU71" s="18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1:58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AU72" s="18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1:58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AU73" s="19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1:58" x14ac:dyDescent="0.2">
      <c r="AU74" s="62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</row>
    <row r="75" spans="1:58" x14ac:dyDescent="0.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AU75" s="18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</row>
    <row r="76" spans="1:58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AU76" s="18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</row>
    <row r="77" spans="1:58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AU77" s="19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1:58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AU78" s="18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</row>
    <row r="79" spans="1:58" x14ac:dyDescent="0.2">
      <c r="A79" s="59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U79" s="18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1:58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AU80" s="19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47:58" x14ac:dyDescent="0.2">
      <c r="AU81" s="19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</row>
    <row r="82" spans="47:58" x14ac:dyDescent="0.2">
      <c r="AU82" s="18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</row>
    <row r="83" spans="47:58" x14ac:dyDescent="0.2">
      <c r="AU83" s="18"/>
      <c r="AV83" s="61"/>
      <c r="AW83" s="22"/>
      <c r="AX83" s="22"/>
      <c r="AY83" s="22"/>
      <c r="AZ83" s="22"/>
      <c r="BA83" s="22"/>
      <c r="BB83" s="15"/>
      <c r="BC83" s="15"/>
      <c r="BD83" s="15"/>
      <c r="BE83" s="15"/>
      <c r="BF83" s="15"/>
    </row>
  </sheetData>
  <mergeCells count="2">
    <mergeCell ref="B2:M2"/>
    <mergeCell ref="B22:M22"/>
  </mergeCells>
  <hyperlinks>
    <hyperlink ref="A49" r:id="rId1" xr:uid="{EA121F67-0340-E24E-9A37-EB123F6DED70}"/>
  </hyperlinks>
  <pageMargins left="0.75" right="0.75" top="1" bottom="1" header="0.5" footer="0.5"/>
  <pageSetup orientation="portrait" horizontalDpi="4294967292" verticalDpi="429496729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777D-4572-494C-A3AA-69C1EBA52F5A}">
  <dimension ref="A1:AU81"/>
  <sheetViews>
    <sheetView zoomScale="106" workbookViewId="0">
      <pane ySplit="1" topLeftCell="A18" activePane="bottomLeft" state="frozen"/>
      <selection pane="bottomLeft" activeCell="A58" sqref="A58"/>
    </sheetView>
  </sheetViews>
  <sheetFormatPr baseColWidth="10" defaultRowHeight="16" x14ac:dyDescent="0.2"/>
  <cols>
    <col min="1" max="1" width="44" customWidth="1"/>
    <col min="2" max="2" width="58.5" style="1" bestFit="1" customWidth="1"/>
    <col min="3" max="13" width="10.83203125" style="1"/>
    <col min="14" max="34" width="0" hidden="1" customWidth="1"/>
  </cols>
  <sheetData>
    <row r="1" spans="1:47" ht="91" customHeight="1" x14ac:dyDescent="0.2">
      <c r="C1" s="41" t="s">
        <v>18</v>
      </c>
      <c r="D1" s="41" t="s">
        <v>19</v>
      </c>
      <c r="E1" s="41" t="s">
        <v>20</v>
      </c>
      <c r="F1" s="41" t="s">
        <v>21</v>
      </c>
      <c r="G1" s="41" t="s">
        <v>22</v>
      </c>
      <c r="H1" s="41" t="s">
        <v>23</v>
      </c>
      <c r="I1" s="41" t="s">
        <v>24</v>
      </c>
      <c r="J1" s="41" t="s">
        <v>25</v>
      </c>
      <c r="K1" s="41" t="s">
        <v>26</v>
      </c>
      <c r="L1" s="41" t="s">
        <v>27</v>
      </c>
      <c r="M1" s="42" t="s">
        <v>28</v>
      </c>
    </row>
    <row r="2" spans="1:47" x14ac:dyDescent="0.2">
      <c r="A2" s="87" t="s">
        <v>34</v>
      </c>
      <c r="B2" s="145" t="s">
        <v>39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spans="1:47" x14ac:dyDescent="0.2">
      <c r="A3" s="88">
        <v>0.12</v>
      </c>
      <c r="B3" s="117" t="s">
        <v>0</v>
      </c>
      <c r="C3" s="43">
        <v>100</v>
      </c>
      <c r="D3" s="43">
        <f>C3*(1+$A$3)</f>
        <v>112.00000000000001</v>
      </c>
      <c r="E3" s="43">
        <f t="shared" ref="E3:M3" si="0">D3*(1+$A$3)</f>
        <v>125.44000000000003</v>
      </c>
      <c r="F3" s="43">
        <f t="shared" si="0"/>
        <v>140.49280000000005</v>
      </c>
      <c r="G3" s="43">
        <f t="shared" si="0"/>
        <v>157.35193600000005</v>
      </c>
      <c r="H3" s="43">
        <f t="shared" si="0"/>
        <v>176.23416832000007</v>
      </c>
      <c r="I3" s="43">
        <f t="shared" si="0"/>
        <v>197.38226851840008</v>
      </c>
      <c r="J3" s="43">
        <f t="shared" si="0"/>
        <v>221.0681407406081</v>
      </c>
      <c r="K3" s="43">
        <f t="shared" si="0"/>
        <v>247.59631762948109</v>
      </c>
      <c r="L3" s="43">
        <f t="shared" si="0"/>
        <v>277.30787574501886</v>
      </c>
      <c r="M3" s="44">
        <f t="shared" si="0"/>
        <v>310.58482083442118</v>
      </c>
      <c r="AU3" s="1"/>
    </row>
    <row r="4" spans="1:47" x14ac:dyDescent="0.2">
      <c r="A4" s="88">
        <f>+'Scenario 1'!A4</f>
        <v>0.2</v>
      </c>
      <c r="B4" s="1" t="s">
        <v>1</v>
      </c>
      <c r="C4" s="26">
        <f>C$3*$A4</f>
        <v>20</v>
      </c>
      <c r="D4" s="26">
        <f t="shared" ref="D4:M6" si="1">D$3*$A4</f>
        <v>22.400000000000006</v>
      </c>
      <c r="E4" s="26">
        <f t="shared" si="1"/>
        <v>25.088000000000008</v>
      </c>
      <c r="F4" s="26">
        <f t="shared" si="1"/>
        <v>28.09856000000001</v>
      </c>
      <c r="G4" s="26">
        <f t="shared" si="1"/>
        <v>31.470387200000012</v>
      </c>
      <c r="H4" s="26">
        <f t="shared" si="1"/>
        <v>35.246833664000015</v>
      </c>
      <c r="I4" s="26">
        <f t="shared" si="1"/>
        <v>39.476453703680022</v>
      </c>
      <c r="J4" s="26">
        <f t="shared" si="1"/>
        <v>44.213628148121622</v>
      </c>
      <c r="K4" s="26">
        <f t="shared" si="1"/>
        <v>49.519263525896221</v>
      </c>
      <c r="L4" s="26">
        <f t="shared" si="1"/>
        <v>55.461575149003778</v>
      </c>
      <c r="M4" s="27">
        <f t="shared" si="1"/>
        <v>62.116964166884237</v>
      </c>
      <c r="AU4" s="1"/>
    </row>
    <row r="5" spans="1:47" x14ac:dyDescent="0.2">
      <c r="A5" s="88">
        <f>+'Scenario 1'!A5</f>
        <v>0.4</v>
      </c>
      <c r="B5" s="1" t="s">
        <v>2</v>
      </c>
      <c r="C5" s="26">
        <f>C$3*$A5</f>
        <v>40</v>
      </c>
      <c r="D5" s="26">
        <f t="shared" si="1"/>
        <v>44.800000000000011</v>
      </c>
      <c r="E5" s="26">
        <f t="shared" si="1"/>
        <v>50.176000000000016</v>
      </c>
      <c r="F5" s="26">
        <f t="shared" si="1"/>
        <v>56.19712000000002</v>
      </c>
      <c r="G5" s="26">
        <f t="shared" si="1"/>
        <v>62.940774400000024</v>
      </c>
      <c r="H5" s="26">
        <f t="shared" si="1"/>
        <v>70.493667328000029</v>
      </c>
      <c r="I5" s="26">
        <f t="shared" si="1"/>
        <v>78.952907407360044</v>
      </c>
      <c r="J5" s="26">
        <f t="shared" si="1"/>
        <v>88.427256296243243</v>
      </c>
      <c r="K5" s="26">
        <f t="shared" si="1"/>
        <v>99.038527051792443</v>
      </c>
      <c r="L5" s="26">
        <f t="shared" si="1"/>
        <v>110.92315029800756</v>
      </c>
      <c r="M5" s="27">
        <f t="shared" si="1"/>
        <v>124.23392833376847</v>
      </c>
      <c r="AU5" s="1"/>
    </row>
    <row r="6" spans="1:47" x14ac:dyDescent="0.2">
      <c r="A6" s="88">
        <f>+'Scenario 1'!A6</f>
        <v>0.15</v>
      </c>
      <c r="B6" s="1" t="s">
        <v>8</v>
      </c>
      <c r="C6" s="26">
        <f>C$3*$A6</f>
        <v>15</v>
      </c>
      <c r="D6" s="26">
        <f t="shared" si="1"/>
        <v>16.8</v>
      </c>
      <c r="E6" s="26">
        <f t="shared" si="1"/>
        <v>18.816000000000003</v>
      </c>
      <c r="F6" s="26">
        <f t="shared" si="1"/>
        <v>21.073920000000005</v>
      </c>
      <c r="G6" s="26">
        <f t="shared" si="1"/>
        <v>23.602790400000007</v>
      </c>
      <c r="H6" s="26">
        <f t="shared" si="1"/>
        <v>26.435125248000009</v>
      </c>
      <c r="I6" s="26">
        <f t="shared" si="1"/>
        <v>29.607340277760009</v>
      </c>
      <c r="J6" s="26">
        <f t="shared" si="1"/>
        <v>33.160221111091211</v>
      </c>
      <c r="K6" s="26">
        <f t="shared" si="1"/>
        <v>37.139447644422162</v>
      </c>
      <c r="L6" s="26">
        <f t="shared" si="1"/>
        <v>41.596181361752826</v>
      </c>
      <c r="M6" s="27">
        <f t="shared" si="1"/>
        <v>46.587723125163173</v>
      </c>
      <c r="AU6" s="1"/>
    </row>
    <row r="7" spans="1:47" x14ac:dyDescent="0.2">
      <c r="A7" s="88"/>
      <c r="B7" s="117" t="s">
        <v>3</v>
      </c>
      <c r="C7" s="43">
        <f>C3-SUM(C4:C6)</f>
        <v>25</v>
      </c>
      <c r="D7" s="43">
        <f t="shared" ref="D7:K7" si="2">D3-SUM(D4:D6)</f>
        <v>28</v>
      </c>
      <c r="E7" s="43">
        <f t="shared" si="2"/>
        <v>31.36</v>
      </c>
      <c r="F7" s="43">
        <f t="shared" si="2"/>
        <v>35.123200000000011</v>
      </c>
      <c r="G7" s="43">
        <f t="shared" si="2"/>
        <v>39.337984000000006</v>
      </c>
      <c r="H7" s="43">
        <f t="shared" si="2"/>
        <v>44.058542079999995</v>
      </c>
      <c r="I7" s="43">
        <f t="shared" si="2"/>
        <v>49.345567129599999</v>
      </c>
      <c r="J7" s="43">
        <f t="shared" si="2"/>
        <v>55.267035185152025</v>
      </c>
      <c r="K7" s="43">
        <f t="shared" si="2"/>
        <v>61.899079407370294</v>
      </c>
      <c r="L7" s="43">
        <f t="shared" ref="L7:M7" si="3">L3-SUM(L4:L6)</f>
        <v>69.326968936254701</v>
      </c>
      <c r="M7" s="44">
        <f t="shared" si="3"/>
        <v>77.646205208605295</v>
      </c>
      <c r="AU7" s="1"/>
    </row>
    <row r="8" spans="1:47" x14ac:dyDescent="0.2">
      <c r="A8" s="88">
        <f>+'Scenario 1'!A8</f>
        <v>0.3</v>
      </c>
      <c r="B8" s="1" t="s">
        <v>4</v>
      </c>
      <c r="C8" s="26">
        <f>C$7*$A8</f>
        <v>7.5</v>
      </c>
      <c r="D8" s="26">
        <f t="shared" ref="D8:M8" si="4">D$7*$A8</f>
        <v>8.4</v>
      </c>
      <c r="E8" s="26">
        <f t="shared" si="4"/>
        <v>9.4079999999999995</v>
      </c>
      <c r="F8" s="26">
        <f t="shared" si="4"/>
        <v>10.536960000000002</v>
      </c>
      <c r="G8" s="26">
        <f t="shared" si="4"/>
        <v>11.801395200000002</v>
      </c>
      <c r="H8" s="26">
        <f t="shared" si="4"/>
        <v>13.217562623999997</v>
      </c>
      <c r="I8" s="26">
        <f t="shared" si="4"/>
        <v>14.803670138879999</v>
      </c>
      <c r="J8" s="26">
        <f t="shared" si="4"/>
        <v>16.580110555545605</v>
      </c>
      <c r="K8" s="26">
        <f t="shared" si="4"/>
        <v>18.569723822211088</v>
      </c>
      <c r="L8" s="26">
        <f t="shared" si="4"/>
        <v>20.79809068087641</v>
      </c>
      <c r="M8" s="27">
        <f t="shared" si="4"/>
        <v>23.293861562581586</v>
      </c>
      <c r="AU8" s="1"/>
    </row>
    <row r="9" spans="1:47" x14ac:dyDescent="0.2">
      <c r="A9" s="89"/>
      <c r="B9" s="90" t="s">
        <v>5</v>
      </c>
      <c r="C9" s="91">
        <f>C7-C8</f>
        <v>17.5</v>
      </c>
      <c r="D9" s="91">
        <f t="shared" ref="D9:M9" si="5">D7-D8</f>
        <v>19.600000000000001</v>
      </c>
      <c r="E9" s="91">
        <f t="shared" si="5"/>
        <v>21.951999999999998</v>
      </c>
      <c r="F9" s="91">
        <f t="shared" si="5"/>
        <v>24.586240000000011</v>
      </c>
      <c r="G9" s="91">
        <f t="shared" si="5"/>
        <v>27.536588800000004</v>
      </c>
      <c r="H9" s="91">
        <f t="shared" si="5"/>
        <v>30.840979455999999</v>
      </c>
      <c r="I9" s="91">
        <f t="shared" si="5"/>
        <v>34.541896990719998</v>
      </c>
      <c r="J9" s="91">
        <f t="shared" si="5"/>
        <v>38.686924629606423</v>
      </c>
      <c r="K9" s="91">
        <f t="shared" si="5"/>
        <v>43.329355585159206</v>
      </c>
      <c r="L9" s="91">
        <f t="shared" si="5"/>
        <v>48.528878255378288</v>
      </c>
      <c r="M9" s="92">
        <f t="shared" si="5"/>
        <v>54.352343646023712</v>
      </c>
      <c r="AU9" s="1"/>
    </row>
    <row r="10" spans="1:47" x14ac:dyDescent="0.2">
      <c r="A10" s="93"/>
      <c r="B10" s="147" t="s">
        <v>40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AU10" s="1"/>
    </row>
    <row r="11" spans="1:47" x14ac:dyDescent="0.2">
      <c r="A11" s="94"/>
      <c r="B11" s="117" t="s">
        <v>3</v>
      </c>
      <c r="C11" s="43">
        <f>C7</f>
        <v>25</v>
      </c>
      <c r="D11" s="43">
        <f t="shared" ref="D11:M11" si="6">D7</f>
        <v>28</v>
      </c>
      <c r="E11" s="43">
        <f t="shared" si="6"/>
        <v>31.36</v>
      </c>
      <c r="F11" s="43">
        <f t="shared" si="6"/>
        <v>35.123200000000011</v>
      </c>
      <c r="G11" s="43">
        <f t="shared" si="6"/>
        <v>39.337984000000006</v>
      </c>
      <c r="H11" s="43">
        <f t="shared" si="6"/>
        <v>44.058542079999995</v>
      </c>
      <c r="I11" s="43">
        <f t="shared" si="6"/>
        <v>49.345567129599999</v>
      </c>
      <c r="J11" s="43">
        <f t="shared" si="6"/>
        <v>55.267035185152025</v>
      </c>
      <c r="K11" s="43">
        <f t="shared" si="6"/>
        <v>61.899079407370294</v>
      </c>
      <c r="L11" s="43">
        <f t="shared" si="6"/>
        <v>69.326968936254701</v>
      </c>
      <c r="M11" s="44">
        <f t="shared" si="6"/>
        <v>77.646205208605295</v>
      </c>
      <c r="AU11" s="1"/>
    </row>
    <row r="12" spans="1:47" x14ac:dyDescent="0.2">
      <c r="A12" s="94">
        <f>+'Scenario 1'!A12</f>
        <v>0.33</v>
      </c>
      <c r="B12" s="1" t="s">
        <v>6</v>
      </c>
      <c r="C12" s="95">
        <f>C$7*$A12</f>
        <v>8.25</v>
      </c>
      <c r="D12" s="95">
        <f t="shared" ref="D12:M12" si="7">D$7*$A12</f>
        <v>9.24</v>
      </c>
      <c r="E12" s="95">
        <f t="shared" si="7"/>
        <v>10.348800000000001</v>
      </c>
      <c r="F12" s="95">
        <f t="shared" si="7"/>
        <v>11.590656000000005</v>
      </c>
      <c r="G12" s="95">
        <f t="shared" si="7"/>
        <v>12.981534720000003</v>
      </c>
      <c r="H12" s="95">
        <f t="shared" si="7"/>
        <v>14.539318886399998</v>
      </c>
      <c r="I12" s="95">
        <f t="shared" si="7"/>
        <v>16.284037152768001</v>
      </c>
      <c r="J12" s="95">
        <f t="shared" si="7"/>
        <v>18.238121611100169</v>
      </c>
      <c r="K12" s="95">
        <f t="shared" si="7"/>
        <v>20.426696204432197</v>
      </c>
      <c r="L12" s="95">
        <f t="shared" si="7"/>
        <v>22.877899748964051</v>
      </c>
      <c r="M12" s="96">
        <f t="shared" si="7"/>
        <v>25.62324771883975</v>
      </c>
      <c r="AU12" s="1"/>
    </row>
    <row r="13" spans="1:47" x14ac:dyDescent="0.2">
      <c r="A13" s="94"/>
      <c r="B13" s="117" t="s">
        <v>7</v>
      </c>
      <c r="C13" s="43">
        <f>C11-C12</f>
        <v>16.75</v>
      </c>
      <c r="D13" s="43">
        <f t="shared" ref="D13:M13" si="8">D11-D12</f>
        <v>18.759999999999998</v>
      </c>
      <c r="E13" s="43">
        <f t="shared" si="8"/>
        <v>21.011199999999999</v>
      </c>
      <c r="F13" s="43">
        <f t="shared" si="8"/>
        <v>23.532544000000009</v>
      </c>
      <c r="G13" s="43">
        <f t="shared" si="8"/>
        <v>26.356449280000003</v>
      </c>
      <c r="H13" s="43">
        <f t="shared" si="8"/>
        <v>29.519223193599998</v>
      </c>
      <c r="I13" s="43">
        <f t="shared" si="8"/>
        <v>33.061529976831999</v>
      </c>
      <c r="J13" s="43">
        <f t="shared" si="8"/>
        <v>37.028913574051856</v>
      </c>
      <c r="K13" s="43">
        <f t="shared" si="8"/>
        <v>41.472383202938097</v>
      </c>
      <c r="L13" s="43">
        <f t="shared" si="8"/>
        <v>46.449069187290647</v>
      </c>
      <c r="M13" s="44">
        <f t="shared" si="8"/>
        <v>52.022957489765545</v>
      </c>
      <c r="AU13" s="1"/>
    </row>
    <row r="14" spans="1:47" x14ac:dyDescent="0.2">
      <c r="A14" s="94"/>
      <c r="C14" s="95"/>
      <c r="D14" s="97"/>
      <c r="E14" s="95"/>
      <c r="F14" s="95"/>
      <c r="G14" s="95"/>
      <c r="H14" s="95"/>
      <c r="I14" s="95"/>
      <c r="J14" s="95"/>
      <c r="K14" s="95"/>
      <c r="L14" s="95"/>
      <c r="M14" s="96"/>
      <c r="AU14" s="1"/>
    </row>
    <row r="15" spans="1:47" x14ac:dyDescent="0.2">
      <c r="A15" s="94">
        <f>+'Scenario 1'!A15</f>
        <v>0.09</v>
      </c>
      <c r="B15" s="1" t="s">
        <v>12</v>
      </c>
      <c r="C15" s="95">
        <v>237</v>
      </c>
      <c r="D15" s="95">
        <f>C15*(1+$A$15)</f>
        <v>258.33000000000004</v>
      </c>
      <c r="E15" s="95">
        <f t="shared" ref="E15:M15" si="9">D15*(1+$A$15)</f>
        <v>281.57970000000006</v>
      </c>
      <c r="F15" s="95">
        <f t="shared" si="9"/>
        <v>306.92187300000006</v>
      </c>
      <c r="G15" s="95">
        <f t="shared" si="9"/>
        <v>334.54484157000007</v>
      </c>
      <c r="H15" s="95">
        <f t="shared" si="9"/>
        <v>364.65387731130011</v>
      </c>
      <c r="I15" s="95">
        <f t="shared" si="9"/>
        <v>397.47272626931715</v>
      </c>
      <c r="J15" s="95">
        <f t="shared" si="9"/>
        <v>433.24527163355572</v>
      </c>
      <c r="K15" s="95">
        <f t="shared" si="9"/>
        <v>472.23734608057578</v>
      </c>
      <c r="L15" s="95">
        <f t="shared" si="9"/>
        <v>514.7387072278276</v>
      </c>
      <c r="M15" s="96">
        <f t="shared" si="9"/>
        <v>561.06519087833215</v>
      </c>
      <c r="AU15" s="1"/>
    </row>
    <row r="16" spans="1:47" x14ac:dyDescent="0.2">
      <c r="A16" s="94"/>
      <c r="B16" s="117" t="s">
        <v>51</v>
      </c>
      <c r="C16" s="118">
        <f>C13/C15</f>
        <v>7.0675105485232065E-2</v>
      </c>
      <c r="D16" s="118">
        <f t="shared" ref="D16:M16" si="10">D13/D15</f>
        <v>7.2620291874733844E-2</v>
      </c>
      <c r="E16" s="118">
        <f t="shared" si="10"/>
        <v>7.4619015504313685E-2</v>
      </c>
      <c r="F16" s="118">
        <f t="shared" si="10"/>
        <v>7.6672749875992069E-2</v>
      </c>
      <c r="G16" s="118">
        <f t="shared" si="10"/>
        <v>7.8783009046890909E-2</v>
      </c>
      <c r="H16" s="118">
        <f t="shared" si="10"/>
        <v>8.0951348745429169E-2</v>
      </c>
      <c r="I16" s="118">
        <f t="shared" si="10"/>
        <v>8.317936751823915E-2</v>
      </c>
      <c r="J16" s="118">
        <f t="shared" si="10"/>
        <v>8.5468707908649438E-2</v>
      </c>
      <c r="K16" s="118">
        <f t="shared" si="10"/>
        <v>8.782105766760312E-2</v>
      </c>
      <c r="L16" s="118">
        <f t="shared" si="10"/>
        <v>9.0238150997904082E-2</v>
      </c>
      <c r="M16" s="119">
        <f t="shared" si="10"/>
        <v>9.27217698327088E-2</v>
      </c>
      <c r="AU16" s="1"/>
    </row>
    <row r="17" spans="1:47" x14ac:dyDescent="0.2">
      <c r="A17" s="94"/>
      <c r="B17" s="1" t="s">
        <v>14</v>
      </c>
      <c r="C17" s="98">
        <f t="shared" ref="C17:M17" si="11">(C16-$A$32)*C15</f>
        <v>0.15999999999999778</v>
      </c>
      <c r="D17" s="98">
        <f t="shared" si="11"/>
        <v>0.6768999999999924</v>
      </c>
      <c r="E17" s="98">
        <f t="shared" si="11"/>
        <v>1.3006209999999945</v>
      </c>
      <c r="F17" s="98">
        <f t="shared" si="11"/>
        <v>2.0480128900000021</v>
      </c>
      <c r="G17" s="98">
        <f t="shared" si="11"/>
        <v>2.9383103700999942</v>
      </c>
      <c r="H17" s="98">
        <f t="shared" si="11"/>
        <v>3.9934517818089863</v>
      </c>
      <c r="I17" s="98">
        <f t="shared" si="11"/>
        <v>5.238439137979797</v>
      </c>
      <c r="J17" s="98">
        <f t="shared" si="11"/>
        <v>6.7017445597029548</v>
      </c>
      <c r="K17" s="98">
        <f t="shared" si="11"/>
        <v>8.4157689772977893</v>
      </c>
      <c r="L17" s="98">
        <f t="shared" si="11"/>
        <v>10.417359681342713</v>
      </c>
      <c r="M17" s="99">
        <f t="shared" si="11"/>
        <v>12.748394128282289</v>
      </c>
      <c r="AU17" s="1"/>
    </row>
    <row r="18" spans="1:47" x14ac:dyDescent="0.2">
      <c r="A18" s="94"/>
      <c r="B18" s="1" t="s">
        <v>15</v>
      </c>
      <c r="C18" s="100">
        <f>C13/C3</f>
        <v>0.16750000000000001</v>
      </c>
      <c r="D18" s="100">
        <f t="shared" ref="D18:M18" si="12">D13/D3</f>
        <v>0.16749999999999995</v>
      </c>
      <c r="E18" s="100">
        <f t="shared" si="12"/>
        <v>0.16749999999999995</v>
      </c>
      <c r="F18" s="100">
        <f t="shared" si="12"/>
        <v>0.16750000000000001</v>
      </c>
      <c r="G18" s="100">
        <f t="shared" si="12"/>
        <v>0.16749999999999995</v>
      </c>
      <c r="H18" s="100">
        <f t="shared" si="12"/>
        <v>0.16749999999999993</v>
      </c>
      <c r="I18" s="100">
        <f t="shared" si="12"/>
        <v>0.16749999999999993</v>
      </c>
      <c r="J18" s="100">
        <f t="shared" si="12"/>
        <v>0.16750000000000001</v>
      </c>
      <c r="K18" s="100">
        <f t="shared" si="12"/>
        <v>0.16750000000000007</v>
      </c>
      <c r="L18" s="100">
        <f t="shared" si="12"/>
        <v>0.16749999999999995</v>
      </c>
      <c r="M18" s="101">
        <f t="shared" si="12"/>
        <v>0.16749999999999998</v>
      </c>
      <c r="AU18" s="1"/>
    </row>
    <row r="19" spans="1:47" x14ac:dyDescent="0.2">
      <c r="A19" s="94"/>
      <c r="B19" s="1" t="s">
        <v>16</v>
      </c>
      <c r="C19" s="102">
        <f>C3/C15</f>
        <v>0.4219409282700422</v>
      </c>
      <c r="D19" s="102">
        <f t="shared" ref="D19:M19" si="13">D3/D15</f>
        <v>0.43355398134169471</v>
      </c>
      <c r="E19" s="102">
        <f t="shared" si="13"/>
        <v>0.44548665972724594</v>
      </c>
      <c r="F19" s="102">
        <f t="shared" si="13"/>
        <v>0.45774776045368398</v>
      </c>
      <c r="G19" s="102">
        <f t="shared" si="13"/>
        <v>0.47034632266800558</v>
      </c>
      <c r="H19" s="102">
        <f t="shared" si="13"/>
        <v>0.48329163430106992</v>
      </c>
      <c r="I19" s="102">
        <f t="shared" si="13"/>
        <v>0.49659323891486079</v>
      </c>
      <c r="J19" s="102">
        <f t="shared" si="13"/>
        <v>0.51026094273820555</v>
      </c>
      <c r="K19" s="102">
        <f t="shared" si="13"/>
        <v>0.52430482189613781</v>
      </c>
      <c r="L19" s="102">
        <f t="shared" si="13"/>
        <v>0.53873522983823341</v>
      </c>
      <c r="M19" s="103">
        <f t="shared" si="13"/>
        <v>0.55356280497139587</v>
      </c>
      <c r="AU19" s="1"/>
    </row>
    <row r="20" spans="1:47" x14ac:dyDescent="0.2">
      <c r="A20" s="104"/>
      <c r="B20" s="120" t="s">
        <v>41</v>
      </c>
      <c r="C20" s="47"/>
      <c r="D20" s="47">
        <f>D13-(D15-C15)</f>
        <v>-2.5700000000000429</v>
      </c>
      <c r="E20" s="47">
        <f t="shared" ref="E20:AH20" si="14">E13-(E15-D15)</f>
        <v>-2.2385000000000197</v>
      </c>
      <c r="F20" s="47">
        <f t="shared" si="14"/>
        <v>-1.8096289999999939</v>
      </c>
      <c r="G20" s="47">
        <f t="shared" si="14"/>
        <v>-1.2665192900000086</v>
      </c>
      <c r="H20" s="47">
        <f t="shared" si="14"/>
        <v>-0.58981254770003488</v>
      </c>
      <c r="I20" s="47">
        <f t="shared" si="14"/>
        <v>0.24268101881495596</v>
      </c>
      <c r="J20" s="47">
        <f t="shared" si="14"/>
        <v>1.2563682098132887</v>
      </c>
      <c r="K20" s="47">
        <f t="shared" si="14"/>
        <v>2.4803087559180383</v>
      </c>
      <c r="L20" s="47">
        <f t="shared" si="14"/>
        <v>3.9477080400388189</v>
      </c>
      <c r="M20" s="48">
        <f t="shared" si="14"/>
        <v>5.696473839261003</v>
      </c>
      <c r="N20" s="105">
        <f t="shared" si="14"/>
        <v>561.06519087833215</v>
      </c>
      <c r="O20" s="105">
        <f t="shared" si="14"/>
        <v>0</v>
      </c>
      <c r="P20" s="105">
        <f t="shared" si="14"/>
        <v>0</v>
      </c>
      <c r="Q20" s="105">
        <f t="shared" si="14"/>
        <v>0</v>
      </c>
      <c r="R20" s="105">
        <f t="shared" si="14"/>
        <v>0</v>
      </c>
      <c r="S20" s="105">
        <f t="shared" si="14"/>
        <v>0</v>
      </c>
      <c r="T20" s="105">
        <f t="shared" si="14"/>
        <v>0</v>
      </c>
      <c r="U20" s="105">
        <f t="shared" si="14"/>
        <v>0</v>
      </c>
      <c r="V20" s="105">
        <f t="shared" si="14"/>
        <v>0</v>
      </c>
      <c r="W20" s="105">
        <f t="shared" si="14"/>
        <v>0</v>
      </c>
      <c r="X20" s="105">
        <f t="shared" si="14"/>
        <v>0</v>
      </c>
      <c r="Y20" s="105">
        <f t="shared" si="14"/>
        <v>0</v>
      </c>
      <c r="Z20" s="105">
        <f t="shared" si="14"/>
        <v>0</v>
      </c>
      <c r="AA20" s="105">
        <f t="shared" si="14"/>
        <v>0</v>
      </c>
      <c r="AB20" s="105">
        <f t="shared" si="14"/>
        <v>0</v>
      </c>
      <c r="AC20" s="105">
        <f t="shared" si="14"/>
        <v>0</v>
      </c>
      <c r="AD20" s="105">
        <f t="shared" si="14"/>
        <v>0</v>
      </c>
      <c r="AE20" s="105">
        <f t="shared" si="14"/>
        <v>0</v>
      </c>
      <c r="AF20" s="105">
        <f t="shared" si="14"/>
        <v>0</v>
      </c>
      <c r="AG20" s="105">
        <f t="shared" si="14"/>
        <v>0</v>
      </c>
      <c r="AH20" s="105">
        <f t="shared" si="14"/>
        <v>0</v>
      </c>
      <c r="AU20" s="1"/>
    </row>
    <row r="21" spans="1:47" x14ac:dyDescent="0.2">
      <c r="A21" s="106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AU21" s="1"/>
    </row>
    <row r="22" spans="1:47" x14ac:dyDescent="0.2">
      <c r="A22" s="147" t="s">
        <v>17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9"/>
    </row>
    <row r="23" spans="1:47" x14ac:dyDescent="0.2">
      <c r="A23" s="88"/>
      <c r="B23" s="124" t="s">
        <v>3</v>
      </c>
      <c r="C23" s="95">
        <f>C7</f>
        <v>25</v>
      </c>
      <c r="D23" s="95">
        <f t="shared" ref="D23:M23" si="15">D7</f>
        <v>28</v>
      </c>
      <c r="E23" s="95">
        <f t="shared" si="15"/>
        <v>31.36</v>
      </c>
      <c r="F23" s="95">
        <f t="shared" si="15"/>
        <v>35.123200000000011</v>
      </c>
      <c r="G23" s="95">
        <f t="shared" si="15"/>
        <v>39.337984000000006</v>
      </c>
      <c r="H23" s="95">
        <f t="shared" si="15"/>
        <v>44.058542079999995</v>
      </c>
      <c r="I23" s="95">
        <f t="shared" si="15"/>
        <v>49.345567129599999</v>
      </c>
      <c r="J23" s="95">
        <f t="shared" si="15"/>
        <v>55.267035185152025</v>
      </c>
      <c r="K23" s="95">
        <f t="shared" si="15"/>
        <v>61.899079407370294</v>
      </c>
      <c r="L23" s="95">
        <f t="shared" si="15"/>
        <v>69.326968936254701</v>
      </c>
      <c r="M23" s="96">
        <f t="shared" si="15"/>
        <v>77.646205208605295</v>
      </c>
      <c r="O23">
        <v>1</v>
      </c>
      <c r="P23">
        <v>2</v>
      </c>
      <c r="Q23">
        <v>3</v>
      </c>
      <c r="R23">
        <v>4</v>
      </c>
      <c r="S23">
        <v>5</v>
      </c>
      <c r="T23">
        <v>6</v>
      </c>
      <c r="U23">
        <v>7</v>
      </c>
      <c r="V23">
        <v>8</v>
      </c>
      <c r="W23">
        <v>9</v>
      </c>
      <c r="X23">
        <v>10</v>
      </c>
      <c r="Y23">
        <v>11</v>
      </c>
    </row>
    <row r="24" spans="1:47" x14ac:dyDescent="0.2">
      <c r="A24" s="107" t="str">
        <f>"# of years of Capitalization of "&amp;B5</f>
        <v># of years of Capitalization of R&amp;D</v>
      </c>
      <c r="B24" s="1" t="str">
        <f>"+ "&amp;B5</f>
        <v>+ R&amp;D</v>
      </c>
      <c r="C24" s="26">
        <f t="shared" ref="C24:M25" si="16">C5</f>
        <v>40</v>
      </c>
      <c r="D24" s="26">
        <f t="shared" si="16"/>
        <v>44.800000000000011</v>
      </c>
      <c r="E24" s="26">
        <f t="shared" si="16"/>
        <v>50.176000000000016</v>
      </c>
      <c r="F24" s="26">
        <f t="shared" si="16"/>
        <v>56.19712000000002</v>
      </c>
      <c r="G24" s="26">
        <f t="shared" si="16"/>
        <v>62.940774400000024</v>
      </c>
      <c r="H24" s="26">
        <f t="shared" si="16"/>
        <v>70.493667328000029</v>
      </c>
      <c r="I24" s="26">
        <f t="shared" si="16"/>
        <v>78.952907407360044</v>
      </c>
      <c r="J24" s="26">
        <f t="shared" si="16"/>
        <v>88.427256296243243</v>
      </c>
      <c r="K24" s="26">
        <f t="shared" si="16"/>
        <v>99.038527051792443</v>
      </c>
      <c r="L24" s="26">
        <f t="shared" si="16"/>
        <v>110.92315029800756</v>
      </c>
      <c r="M24" s="27">
        <f t="shared" si="16"/>
        <v>124.23392833376847</v>
      </c>
      <c r="N24">
        <v>1</v>
      </c>
      <c r="O24" s="108">
        <f t="shared" ref="O24:Y24" si="17">C6/$A$25</f>
        <v>3</v>
      </c>
      <c r="P24" s="108">
        <f t="shared" si="17"/>
        <v>3.3600000000000003</v>
      </c>
      <c r="Q24" s="108">
        <f t="shared" si="17"/>
        <v>3.7632000000000003</v>
      </c>
      <c r="R24" s="108">
        <f t="shared" si="17"/>
        <v>4.2147840000000008</v>
      </c>
      <c r="S24" s="108">
        <f t="shared" si="17"/>
        <v>4.7205580800000018</v>
      </c>
      <c r="T24" s="108">
        <f t="shared" si="17"/>
        <v>5.2870250496000022</v>
      </c>
      <c r="U24" s="108">
        <f t="shared" si="17"/>
        <v>5.9214680555520021</v>
      </c>
      <c r="V24" s="108">
        <f t="shared" si="17"/>
        <v>6.6320442222182425</v>
      </c>
      <c r="W24" s="108">
        <f t="shared" si="17"/>
        <v>7.4278895288844327</v>
      </c>
      <c r="X24" s="108">
        <f t="shared" si="17"/>
        <v>8.3192362723505653</v>
      </c>
      <c r="Y24" s="108">
        <f t="shared" si="17"/>
        <v>9.3175446250326353</v>
      </c>
    </row>
    <row r="25" spans="1:47" x14ac:dyDescent="0.2">
      <c r="A25" s="130">
        <v>5</v>
      </c>
      <c r="B25" s="1" t="str">
        <f>"+ "&amp;B6</f>
        <v>+ Sales &amp; Marketing</v>
      </c>
      <c r="C25" s="26">
        <f t="shared" si="16"/>
        <v>15</v>
      </c>
      <c r="D25" s="26">
        <f t="shared" si="16"/>
        <v>16.8</v>
      </c>
      <c r="E25" s="26">
        <f t="shared" si="16"/>
        <v>18.816000000000003</v>
      </c>
      <c r="F25" s="26">
        <f t="shared" si="16"/>
        <v>21.073920000000005</v>
      </c>
      <c r="G25" s="26">
        <f t="shared" si="16"/>
        <v>23.602790400000007</v>
      </c>
      <c r="H25" s="26">
        <f t="shared" si="16"/>
        <v>26.435125248000009</v>
      </c>
      <c r="I25" s="26">
        <f t="shared" si="16"/>
        <v>29.607340277760009</v>
      </c>
      <c r="J25" s="26">
        <f t="shared" si="16"/>
        <v>33.160221111091211</v>
      </c>
      <c r="K25" s="26">
        <f t="shared" si="16"/>
        <v>37.139447644422162</v>
      </c>
      <c r="L25" s="26">
        <f t="shared" si="16"/>
        <v>41.596181361752826</v>
      </c>
      <c r="M25" s="27">
        <f t="shared" si="16"/>
        <v>46.587723125163173</v>
      </c>
      <c r="N25">
        <v>2</v>
      </c>
      <c r="O25" s="109">
        <f>O24</f>
        <v>3</v>
      </c>
      <c r="P25" s="109">
        <f>+O25</f>
        <v>3</v>
      </c>
      <c r="Q25" s="109"/>
      <c r="R25" s="109"/>
      <c r="S25" s="109"/>
      <c r="T25" s="109"/>
      <c r="U25" s="109"/>
      <c r="V25" s="109"/>
      <c r="W25" s="109"/>
      <c r="X25" s="109"/>
    </row>
    <row r="26" spans="1:47" x14ac:dyDescent="0.2">
      <c r="A26" s="129"/>
      <c r="C26" s="26">
        <f>C24/$A$25</f>
        <v>8</v>
      </c>
      <c r="D26" s="26">
        <f t="shared" ref="D26:M26" si="18">D24/$A$25</f>
        <v>8.9600000000000026</v>
      </c>
      <c r="E26" s="26">
        <f t="shared" si="18"/>
        <v>10.035200000000003</v>
      </c>
      <c r="F26" s="26">
        <f t="shared" si="18"/>
        <v>11.239424000000003</v>
      </c>
      <c r="G26" s="26">
        <f t="shared" si="18"/>
        <v>12.588154880000005</v>
      </c>
      <c r="H26" s="26">
        <f t="shared" si="18"/>
        <v>14.098733465600006</v>
      </c>
      <c r="I26" s="26">
        <f t="shared" si="18"/>
        <v>15.790581481472008</v>
      </c>
      <c r="J26" s="26">
        <f t="shared" si="18"/>
        <v>17.685451259248648</v>
      </c>
      <c r="K26" s="26">
        <f t="shared" si="18"/>
        <v>19.807705410358487</v>
      </c>
      <c r="L26" s="26">
        <f t="shared" si="18"/>
        <v>22.18463005960151</v>
      </c>
      <c r="M26" s="27">
        <f t="shared" si="18"/>
        <v>24.846785666753696</v>
      </c>
      <c r="N26">
        <v>3</v>
      </c>
      <c r="P26" s="109">
        <f>+P24</f>
        <v>3.3600000000000003</v>
      </c>
      <c r="Q26" s="109">
        <f>+P26</f>
        <v>3.3600000000000003</v>
      </c>
      <c r="R26" s="109"/>
      <c r="S26" s="109"/>
      <c r="T26" s="109"/>
      <c r="U26" s="109"/>
      <c r="V26" s="109"/>
      <c r="W26" s="109"/>
      <c r="X26" s="109"/>
      <c r="Y26" s="109"/>
      <c r="Z26" s="109">
        <f t="shared" ref="X26:AG34" si="19">+Y26</f>
        <v>0</v>
      </c>
    </row>
    <row r="27" spans="1:47" x14ac:dyDescent="0.2">
      <c r="A27" s="107" t="str">
        <f>"# of years of Capitalization of "&amp;B6</f>
        <v># of years of Capitalization of Sales &amp; Marketing</v>
      </c>
      <c r="B27" s="1" t="str">
        <f>" - Amortization of "&amp;B5</f>
        <v xml:space="preserve"> - Amortization of R&amp;D</v>
      </c>
      <c r="C27" s="26">
        <f>C24/$A$25</f>
        <v>8</v>
      </c>
      <c r="D27" s="26">
        <f>IF($A$25=2,SUM($C26:D26),IF($A$25=3,SUM($C26:D26),IF($A$25=4,SUM($C26:D26),IF($A$25=5,SUM($C26:D26),IF($A$25=6,SUM($C26:D26),IF($A$25=7,SUM($C26:D26),IF($A$25=8,SUM($C$26:D26),IF($A$25=9,SUM($C26:D26),IF($A$25=10,SUM($C26:D26))))))))))</f>
        <v>16.96</v>
      </c>
      <c r="E27" s="26">
        <f>IF($A$25=2,SUM(D26:E26),IF($A$25=3,SUM($C26:E26),IF($A$25=4,SUM($C26:E26),IF($A$25=5,SUM($C26:E26),IF($A$25=6,SUM($C26:E26),IF($A$25=7,SUM($C26:E26),IF($A$25=8,SUM($C$26:E26),IF($A$25=9,SUM($C26:E26),IF($A$25=10,SUM($C26:E26))))))))))</f>
        <v>26.995200000000004</v>
      </c>
      <c r="F27" s="26">
        <f>IF($A$25=2,SUM(E26:F26),IF($A$25=3,SUM(D26:F26),IF($A$25=4,SUM($C26:F26),IF($A$25=5,SUM($C26:F26),IF($A$25=6,SUM($C26:F26),IF($A$25=7,SUM($C26:F26),IF($A$25=8,SUM($C$26:F26),IF($A$25=9,SUM($C26:F26),IF($A$25=10,SUM($C26:F26))))))))))</f>
        <v>38.234624000000011</v>
      </c>
      <c r="G27" s="26">
        <f>IF($A$25=2,SUM(F26:G26),IF($A$25=3,SUM(E26:G26),IF($A$25=4,SUM(D26:G26),IF($A$25=5,SUM($C26:G26),IF($A$25=6,SUM($C26:G26),IF($A$25=7,SUM($C26:G26),IF($A$25=8,SUM($C$26:G26),IF($A$25=9,SUM($C26:G26),IF($A$25=10,SUM($C26:G26))))))))))</f>
        <v>50.822778880000016</v>
      </c>
      <c r="H27" s="26">
        <f>IF($A$25=2,SUM(G26:H26),IF($A$25=3,SUM(F26:H26),IF($A$25=4,SUM(E26:H26),IF($A$25=5,SUM(D26:H26),IF($A$25=6,SUM($C26:H26),IF($A$25=7,SUM($C26:H26),IF($A$25=8,SUM($C$26:H26),IF($A$25=9,SUM($C26:H26),IF($A$25=10,SUM($C26:H26))))))))))</f>
        <v>56.921512345600021</v>
      </c>
      <c r="I27" s="26">
        <f>IF($A$25=2,SUM(H26:I26),IF($A$25=3,SUM(G26:I26),IF($A$25=4,SUM(F26:I26),IF($A$25=5,SUM(E26:I26),IF($A$25=6,SUM(D26:I26),IF($A$25=7,SUM($C26:I26),IF($A$25=8,SUM($C$26:I26),IF($A$25=9,SUM($C26:I26),IF($A$25=10,SUM($C26:I26))))))))))</f>
        <v>63.752093827072024</v>
      </c>
      <c r="J27" s="26">
        <f>IF($A$25=2,SUM(I26:J26),IF($A$25=3,SUM(H26:J26),IF($A$25=4,SUM(G26:J26),IF($A$25=5,SUM(F26:J26),IF($A$25=6,SUM(E26:J26),IF($A$25=7,SUM(D26:J26),IF($A$25=8,SUM($C$26:J26),IF($A$25=9,SUM($C26:J26),IF($A$25=10,SUM($C26:J26))))))))))</f>
        <v>71.402345086320665</v>
      </c>
      <c r="K27" s="26">
        <f>IF($A$25=2,SUM(J26:K26),IF($A$25=3,SUM(I26:K26),IF($A$25=4,SUM(H26:K26),IF($A$25=5,SUM(G26:K26),IF($A$25=6,SUM(F26:K26),IF($A$25=7,SUM(E26:K26),IF($A$25=8,SUM(D26:K26),IF($A$25=9,SUM($C26:K26),IF($A$25=10,SUM($C26:K26))))))))))</f>
        <v>79.970626496679159</v>
      </c>
      <c r="L27" s="26">
        <f>IF($A$25=2,SUM(K26:L26),IF($A$25=3,SUM(J26:L26),IF($A$25=4,SUM(I26:L26),IF($A$25=5,SUM(H26:L26),IF($A$25=6,SUM(G26:L26),IF($A$25=7,SUM(F26:L26),IF($A$25=8,SUM(E26:L26),IF($A$25=9,SUM(D26:L26),IF($A$25=10,SUM($C26:L26))))))))))</f>
        <v>89.567101676280657</v>
      </c>
      <c r="M27" s="27">
        <f>IF($A$25=2,SUM(L26:M26),IF($A$25=3,SUM(K26:M26),IF($A$25=4,SUM(J26:M26),IF($A$25=5,SUM(I26:M26),IF($A$25=6,SUM(H26:M26),IF($A$25=7,SUM(G26:M26),IF($A$25=8,SUM(F26:M26),IF($A$25=9,SUM(E26:M26),IF($A$25=10,SUM(D26:M26))))))))))</f>
        <v>100.31515387743434</v>
      </c>
      <c r="N27">
        <v>4</v>
      </c>
      <c r="Q27" s="109">
        <f>+Q24</f>
        <v>3.7632000000000003</v>
      </c>
      <c r="R27" s="109">
        <f>+Q27</f>
        <v>3.7632000000000003</v>
      </c>
      <c r="S27" s="109"/>
      <c r="T27" s="109"/>
      <c r="U27" s="109"/>
      <c r="V27" s="109"/>
      <c r="W27" s="109"/>
      <c r="X27" s="109"/>
      <c r="Y27" s="109"/>
      <c r="Z27" s="109"/>
      <c r="AA27" s="109"/>
    </row>
    <row r="28" spans="1:47" hidden="1" x14ac:dyDescent="0.2">
      <c r="A28" s="110"/>
      <c r="C28" s="26">
        <f>C25/$A$29</f>
        <v>5</v>
      </c>
      <c r="D28" s="26">
        <f t="shared" ref="D28:M28" si="20">D25/$A$29</f>
        <v>5.6000000000000005</v>
      </c>
      <c r="E28" s="26">
        <f t="shared" si="20"/>
        <v>6.2720000000000011</v>
      </c>
      <c r="F28" s="26">
        <f t="shared" si="20"/>
        <v>7.0246400000000015</v>
      </c>
      <c r="G28" s="26">
        <f t="shared" si="20"/>
        <v>7.8675968000000021</v>
      </c>
      <c r="H28" s="26">
        <f t="shared" si="20"/>
        <v>8.8117084160000037</v>
      </c>
      <c r="I28" s="26">
        <f t="shared" si="20"/>
        <v>9.8691134259200037</v>
      </c>
      <c r="J28" s="26">
        <f t="shared" si="20"/>
        <v>11.053407037030404</v>
      </c>
      <c r="K28" s="26">
        <f t="shared" si="20"/>
        <v>12.379815881474054</v>
      </c>
      <c r="L28" s="26">
        <f t="shared" si="20"/>
        <v>13.865393787250943</v>
      </c>
      <c r="M28" s="27">
        <f t="shared" si="20"/>
        <v>15.529241041721058</v>
      </c>
      <c r="N28">
        <v>5</v>
      </c>
      <c r="R28" s="109">
        <f>+R24</f>
        <v>4.2147840000000008</v>
      </c>
      <c r="S28" s="109">
        <f>+R28</f>
        <v>4.2147840000000008</v>
      </c>
      <c r="T28" s="109">
        <f t="shared" ref="T28:AB34" si="21">+S28</f>
        <v>4.2147840000000008</v>
      </c>
      <c r="U28" s="109">
        <f t="shared" si="21"/>
        <v>4.2147840000000008</v>
      </c>
      <c r="V28" s="109">
        <f t="shared" si="21"/>
        <v>4.2147840000000008</v>
      </c>
      <c r="W28" s="109">
        <f>+V28</f>
        <v>4.2147840000000008</v>
      </c>
      <c r="X28" s="109">
        <f t="shared" si="19"/>
        <v>4.2147840000000008</v>
      </c>
      <c r="Y28" s="109">
        <f t="shared" si="19"/>
        <v>4.2147840000000008</v>
      </c>
      <c r="Z28" s="109">
        <f t="shared" si="19"/>
        <v>4.2147840000000008</v>
      </c>
      <c r="AA28" s="109">
        <f t="shared" si="19"/>
        <v>4.2147840000000008</v>
      </c>
    </row>
    <row r="29" spans="1:47" x14ac:dyDescent="0.2">
      <c r="A29" s="131">
        <v>3</v>
      </c>
      <c r="B29" s="1" t="str">
        <f>" - Amortization of "&amp;B6</f>
        <v xml:space="preserve"> - Amortization of Sales &amp; Marketing</v>
      </c>
      <c r="C29" s="26">
        <f>C25/$A$29</f>
        <v>5</v>
      </c>
      <c r="D29" s="26">
        <f>IF($A$29=2,SUM($C28:D28),IF($A$29=3,SUM($C28:D28),IF($A$29=4,SUM($C28:D28),IF($A$29=5,SUM($C28:D28),IF($A$29=6,SUM($C28:D28),IF($A$29=7,SUM($C28:D28),IF($A$29=8,SUM($C$26:D28),IF($A$29=9,SUM($C28:D28),IF($A$29=10,SUM($C28:D28))))))))))</f>
        <v>10.600000000000001</v>
      </c>
      <c r="E29" s="26">
        <f>IF($A$29=2,SUM(D28:E28),IF($A$29=3,SUM($C28:E28),IF($A$29=4,SUM($C28:E28),IF($A$29=5,SUM($C28:E28),IF($A$29=6,SUM($C28:E28),IF($A$29=7,SUM($C28:E28),IF($A$29=8,SUM($C$26:E28),IF($A$29=9,SUM($C28:E28),IF($A$29=10,SUM($C28:E28))))))))))</f>
        <v>16.872000000000003</v>
      </c>
      <c r="F29" s="26">
        <f>IF($A$29=2,SUM(E28:F28),IF($A$29=3,SUM(D28:F28),IF($A$29=4,SUM($C28:F28),IF($A$29=5,SUM($C28:F28),IF($A$29=6,SUM($C28:F28),IF($A$29=7,SUM($C28:F28),IF($A$29=8,SUM($C$26:F28),IF($A$29=9,SUM($C28:F28),IF($A$29=10,SUM($C28:F28))))))))))</f>
        <v>18.896640000000005</v>
      </c>
      <c r="G29" s="26">
        <f>IF($A$29=2,SUM(F28:G28),IF($A$29=3,SUM(E28:G28),IF($A$29=4,SUM(D28:G28),IF($A$29=5,SUM($C28:G28),IF($A$29=6,SUM($C28:G28),IF($A$29=7,SUM($C28:G28),IF($A$29=8,SUM($C$26:G28),IF($A$29=9,SUM($C28:G28),IF($A$29=10,SUM($C28:G28))))))))))</f>
        <v>21.164236800000005</v>
      </c>
      <c r="H29" s="26">
        <f>IF($A$29=2,SUM(G28:H28),IF($A$29=3,SUM(F28:H28),IF($A$29=4,SUM(E28:H28),IF($A$29=5,SUM(D28:H28),IF($A$29=6,SUM($C28:H28),IF($A$29=7,SUM($C28:H28),IF($A$29=8,SUM($C$26:H28),IF($A$29=9,SUM($C28:H28),IF($A$29=10,SUM($C28:H28))))))))))</f>
        <v>23.703945216000008</v>
      </c>
      <c r="I29" s="26">
        <f>IF($A$29=2,SUM(H28:I28),IF($A$29=3,SUM(G28:I28),IF($A$29=4,SUM(F28:I28),IF($A$29=5,SUM(E28:I28),IF($A$29=6,SUM(D28:I28),IF($A$29=7,SUM($C28:I28),IF($A$29=8,SUM($C$26:I28),IF($A$29=9,SUM($C28:I28),IF($A$29=10,SUM($C28:I28))))))))))</f>
        <v>26.548418641920009</v>
      </c>
      <c r="J29" s="26">
        <f>IF($A$29=2,SUM(I28:J28),IF($A$29=3,SUM(H28:J28),IF($A$29=4,SUM(G28:J28),IF($A$29=5,SUM(F28:J28),IF($A$29=6,SUM(E28:J28),IF($A$29=7,SUM(D28:J28),IF($A$29=8,SUM($C$26:J28),IF($A$29=9,SUM($C28:J28),IF($A$29=10,SUM($C28:J28))))))))))</f>
        <v>29.734228878950411</v>
      </c>
      <c r="K29" s="26">
        <f>IF($A$29=2,SUM(J28:K28),IF($A$29=3,SUM(I28:K28),IF($A$29=4,SUM(H28:K28),IF($A$29=5,SUM(G28:K28),IF($A$29=6,SUM(F28:K28),IF($A$29=7,SUM(E28:K28),IF($A$29=8,SUM(D28:K28),IF($A$29=9,SUM($C28:K28),IF($A$29=10,SUM($C28:K28))))))))))</f>
        <v>33.302336344424461</v>
      </c>
      <c r="L29" s="26">
        <f>IF($A$29=2,SUM(K28:L28),IF($A$29=3,SUM(J28:L28),IF($A$29=4,SUM(I28:L28),IF($A$29=5,SUM(H28:L28),IF($A$29=6,SUM(G28:L28),IF($A$29=7,SUM(F28:L28),IF($A$29=8,SUM(E28:L28),IF($A$29=9,SUM(D28:L28),IF($A$29=10,SUM($C28:L28))))))))))</f>
        <v>37.2986167057554</v>
      </c>
      <c r="M29" s="27">
        <f>IF($A$29=2,SUM(L28:M28),IF($A$29=3,SUM(K28:M28),IF($A$29=4,SUM(J28:M28),IF($A$29=5,SUM(I28:M28),IF($A$29=6,SUM(H28:M28),IF($A$29=7,SUM(G28:M28),IF($A$29=8,SUM(F28:M28),IF($A$29=9,SUM(E28:M28),IF($A$29=10,SUM(D28:M28))))))))))</f>
        <v>41.774450710446054</v>
      </c>
      <c r="S29" s="109">
        <f>+S24</f>
        <v>4.7205580800000018</v>
      </c>
      <c r="T29" s="109">
        <f>+S29</f>
        <v>4.7205580800000018</v>
      </c>
      <c r="U29" s="109">
        <f t="shared" si="21"/>
        <v>4.7205580800000018</v>
      </c>
      <c r="V29" s="109">
        <f t="shared" si="21"/>
        <v>4.7205580800000018</v>
      </c>
      <c r="W29" s="109">
        <f t="shared" si="21"/>
        <v>4.7205580800000018</v>
      </c>
      <c r="X29" s="109">
        <f>+W29</f>
        <v>4.7205580800000018</v>
      </c>
      <c r="Y29" s="109">
        <f t="shared" si="19"/>
        <v>4.7205580800000018</v>
      </c>
      <c r="Z29" s="109">
        <f t="shared" si="19"/>
        <v>4.7205580800000018</v>
      </c>
      <c r="AA29" s="109">
        <f t="shared" si="19"/>
        <v>4.7205580800000018</v>
      </c>
      <c r="AB29" s="109">
        <f t="shared" si="19"/>
        <v>4.7205580800000018</v>
      </c>
    </row>
    <row r="30" spans="1:47" x14ac:dyDescent="0.2">
      <c r="A30" s="111"/>
      <c r="M30" s="25"/>
      <c r="T30" s="109">
        <f>+T24</f>
        <v>5.2870250496000022</v>
      </c>
      <c r="U30" s="109">
        <f>+T30</f>
        <v>5.2870250496000022</v>
      </c>
      <c r="V30" s="109">
        <f t="shared" si="21"/>
        <v>5.2870250496000022</v>
      </c>
      <c r="W30" s="109">
        <f t="shared" si="21"/>
        <v>5.2870250496000022</v>
      </c>
      <c r="X30" s="109">
        <f t="shared" si="21"/>
        <v>5.2870250496000022</v>
      </c>
      <c r="Y30" s="109">
        <f>+X30</f>
        <v>5.2870250496000022</v>
      </c>
      <c r="Z30" s="109">
        <f t="shared" si="19"/>
        <v>5.2870250496000022</v>
      </c>
      <c r="AA30" s="109">
        <f t="shared" si="19"/>
        <v>5.2870250496000022</v>
      </c>
      <c r="AB30" s="109">
        <f t="shared" si="19"/>
        <v>5.2870250496000022</v>
      </c>
      <c r="AC30" s="109">
        <f t="shared" si="19"/>
        <v>5.2870250496000022</v>
      </c>
    </row>
    <row r="31" spans="1:47" x14ac:dyDescent="0.2">
      <c r="A31" s="107" t="s">
        <v>13</v>
      </c>
      <c r="B31" s="1" t="str">
        <f>"Capitalized "&amp;B5&amp;" Asset"</f>
        <v>Capitalized R&amp;D Asset</v>
      </c>
      <c r="C31" s="26">
        <f>C24-C27</f>
        <v>32</v>
      </c>
      <c r="D31" s="26">
        <f t="shared" ref="D31:M31" si="22">C31+D24-D27</f>
        <v>59.840000000000011</v>
      </c>
      <c r="E31" s="26">
        <f t="shared" si="22"/>
        <v>83.020800000000008</v>
      </c>
      <c r="F31" s="26">
        <f t="shared" si="22"/>
        <v>100.98329600000001</v>
      </c>
      <c r="G31" s="26">
        <f t="shared" si="22"/>
        <v>113.10129152000002</v>
      </c>
      <c r="H31" s="26">
        <f t="shared" si="22"/>
        <v>126.67344650240001</v>
      </c>
      <c r="I31" s="26">
        <f t="shared" si="22"/>
        <v>141.87426008268801</v>
      </c>
      <c r="J31" s="26">
        <f t="shared" si="22"/>
        <v>158.89917129261056</v>
      </c>
      <c r="K31" s="26">
        <f t="shared" si="22"/>
        <v>177.96707184772382</v>
      </c>
      <c r="L31" s="26">
        <f t="shared" si="22"/>
        <v>199.32312046945074</v>
      </c>
      <c r="M31" s="27">
        <f t="shared" si="22"/>
        <v>223.24189492578489</v>
      </c>
      <c r="U31" s="109">
        <f>+U24</f>
        <v>5.9214680555520021</v>
      </c>
      <c r="V31" s="109">
        <f>+U31</f>
        <v>5.9214680555520021</v>
      </c>
      <c r="W31" s="109">
        <f t="shared" si="21"/>
        <v>5.9214680555520021</v>
      </c>
      <c r="X31" s="109">
        <f t="shared" si="21"/>
        <v>5.9214680555520021</v>
      </c>
      <c r="Y31" s="109">
        <f t="shared" si="21"/>
        <v>5.9214680555520021</v>
      </c>
      <c r="Z31" s="109">
        <f>+Y31</f>
        <v>5.9214680555520021</v>
      </c>
      <c r="AA31" s="109">
        <f t="shared" si="19"/>
        <v>5.9214680555520021</v>
      </c>
      <c r="AB31" s="109">
        <f t="shared" si="19"/>
        <v>5.9214680555520021</v>
      </c>
      <c r="AC31" s="109">
        <f t="shared" si="19"/>
        <v>5.9214680555520021</v>
      </c>
      <c r="AD31" s="109">
        <f t="shared" si="19"/>
        <v>5.9214680555520021</v>
      </c>
    </row>
    <row r="32" spans="1:47" x14ac:dyDescent="0.2">
      <c r="A32" s="132">
        <v>7.0000000000000007E-2</v>
      </c>
      <c r="B32" s="1" t="str">
        <f>"Capitalized "&amp;B6&amp;" Asset"</f>
        <v>Capitalized Sales &amp; Marketing Asset</v>
      </c>
      <c r="C32" s="26">
        <f>C25-C29</f>
        <v>10</v>
      </c>
      <c r="D32" s="26">
        <f t="shared" ref="D32:M32" si="23">C32+D25-D29</f>
        <v>16.2</v>
      </c>
      <c r="E32" s="26">
        <f t="shared" si="23"/>
        <v>18.144000000000002</v>
      </c>
      <c r="F32" s="26">
        <f t="shared" si="23"/>
        <v>20.321280000000002</v>
      </c>
      <c r="G32" s="26">
        <f t="shared" si="23"/>
        <v>22.7598336</v>
      </c>
      <c r="H32" s="26">
        <f t="shared" si="23"/>
        <v>25.491013632000005</v>
      </c>
      <c r="I32" s="26">
        <f t="shared" si="23"/>
        <v>28.549935267840006</v>
      </c>
      <c r="J32" s="26">
        <f t="shared" si="23"/>
        <v>31.975927499980806</v>
      </c>
      <c r="K32" s="26">
        <f t="shared" si="23"/>
        <v>35.813038799978514</v>
      </c>
      <c r="L32" s="26">
        <f t="shared" si="23"/>
        <v>40.110603455975941</v>
      </c>
      <c r="M32" s="27">
        <f t="shared" si="23"/>
        <v>44.92387587069306</v>
      </c>
      <c r="V32" s="109">
        <f>+V24</f>
        <v>6.6320442222182425</v>
      </c>
      <c r="W32" s="109">
        <f>+V32</f>
        <v>6.6320442222182425</v>
      </c>
      <c r="X32" s="109">
        <f t="shared" si="21"/>
        <v>6.6320442222182425</v>
      </c>
      <c r="Y32" s="109">
        <f t="shared" si="21"/>
        <v>6.6320442222182425</v>
      </c>
      <c r="Z32" s="109">
        <f t="shared" si="21"/>
        <v>6.6320442222182425</v>
      </c>
      <c r="AA32" s="109">
        <f>+Z32</f>
        <v>6.6320442222182425</v>
      </c>
      <c r="AB32" s="109">
        <f t="shared" si="19"/>
        <v>6.6320442222182425</v>
      </c>
      <c r="AC32" s="109">
        <f t="shared" si="19"/>
        <v>6.6320442222182425</v>
      </c>
      <c r="AD32" s="109">
        <f t="shared" si="19"/>
        <v>6.6320442222182425</v>
      </c>
      <c r="AE32" s="109">
        <f t="shared" si="19"/>
        <v>6.6320442222182425</v>
      </c>
    </row>
    <row r="33" spans="1:34" x14ac:dyDescent="0.2">
      <c r="A33" s="112"/>
      <c r="B33" s="90" t="s">
        <v>9</v>
      </c>
      <c r="C33" s="91">
        <f>SUM(C31:C32)</f>
        <v>42</v>
      </c>
      <c r="D33" s="91">
        <f t="shared" ref="D33:M33" si="24">SUM(D31:D32)</f>
        <v>76.040000000000006</v>
      </c>
      <c r="E33" s="91">
        <f t="shared" si="24"/>
        <v>101.16480000000001</v>
      </c>
      <c r="F33" s="91">
        <f t="shared" si="24"/>
        <v>121.30457600000001</v>
      </c>
      <c r="G33" s="91">
        <f t="shared" si="24"/>
        <v>135.86112512000003</v>
      </c>
      <c r="H33" s="91">
        <f t="shared" si="24"/>
        <v>152.16446013440003</v>
      </c>
      <c r="I33" s="91">
        <f t="shared" si="24"/>
        <v>170.42419535052801</v>
      </c>
      <c r="J33" s="91">
        <f t="shared" si="24"/>
        <v>190.87509879259136</v>
      </c>
      <c r="K33" s="91">
        <f t="shared" si="24"/>
        <v>213.78011064770232</v>
      </c>
      <c r="L33" s="91">
        <f t="shared" si="24"/>
        <v>239.43372392542668</v>
      </c>
      <c r="M33" s="92">
        <f t="shared" si="24"/>
        <v>268.16577079647794</v>
      </c>
      <c r="W33" s="109">
        <f>+W$24</f>
        <v>7.4278895288844327</v>
      </c>
      <c r="X33" s="109">
        <f>+W33</f>
        <v>7.4278895288844327</v>
      </c>
      <c r="Y33" s="109">
        <f t="shared" si="21"/>
        <v>7.4278895288844327</v>
      </c>
      <c r="Z33" s="109">
        <f t="shared" si="21"/>
        <v>7.4278895288844327</v>
      </c>
      <c r="AA33" s="109">
        <f t="shared" si="21"/>
        <v>7.4278895288844327</v>
      </c>
      <c r="AB33" s="109">
        <f>+AA33</f>
        <v>7.4278895288844327</v>
      </c>
      <c r="AC33" s="109">
        <f t="shared" si="19"/>
        <v>7.4278895288844327</v>
      </c>
      <c r="AD33" s="109">
        <f t="shared" si="19"/>
        <v>7.4278895288844327</v>
      </c>
      <c r="AE33" s="109">
        <f t="shared" si="19"/>
        <v>7.4278895288844327</v>
      </c>
      <c r="AF33" s="109">
        <f t="shared" si="19"/>
        <v>7.4278895288844327</v>
      </c>
    </row>
    <row r="34" spans="1:34" x14ac:dyDescent="0.2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X34" s="109">
        <f>+X$24</f>
        <v>8.3192362723505653</v>
      </c>
      <c r="Y34" s="109">
        <f>+X34</f>
        <v>8.3192362723505653</v>
      </c>
      <c r="Z34" s="109">
        <f t="shared" si="21"/>
        <v>8.3192362723505653</v>
      </c>
      <c r="AA34" s="109">
        <f t="shared" si="21"/>
        <v>8.3192362723505653</v>
      </c>
      <c r="AB34" s="109">
        <f t="shared" si="21"/>
        <v>8.3192362723505653</v>
      </c>
      <c r="AC34" s="109">
        <f>+AB34</f>
        <v>8.3192362723505653</v>
      </c>
      <c r="AD34" s="109">
        <f t="shared" si="19"/>
        <v>8.3192362723505653</v>
      </c>
      <c r="AE34" s="109">
        <f t="shared" si="19"/>
        <v>8.3192362723505653</v>
      </c>
      <c r="AF34" s="109">
        <f t="shared" si="19"/>
        <v>8.3192362723505653</v>
      </c>
      <c r="AG34" s="109">
        <f t="shared" si="19"/>
        <v>8.3192362723505653</v>
      </c>
    </row>
    <row r="35" spans="1:34" x14ac:dyDescent="0.2">
      <c r="A35" s="113"/>
      <c r="B35" s="142" t="s">
        <v>53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4"/>
    </row>
    <row r="36" spans="1:34" x14ac:dyDescent="0.2">
      <c r="A36" s="94"/>
      <c r="B36" s="117" t="s">
        <v>42</v>
      </c>
      <c r="C36" s="43">
        <f t="shared" ref="C36:M36" si="25">C23+C24+C25-C27-C29</f>
        <v>67</v>
      </c>
      <c r="D36" s="43">
        <f t="shared" si="25"/>
        <v>62.040000000000013</v>
      </c>
      <c r="E36" s="43">
        <f t="shared" si="25"/>
        <v>56.484800000000021</v>
      </c>
      <c r="F36" s="43">
        <f t="shared" si="25"/>
        <v>55.262976000000023</v>
      </c>
      <c r="G36" s="43">
        <f t="shared" si="25"/>
        <v>53.894533120000013</v>
      </c>
      <c r="H36" s="43">
        <f t="shared" si="25"/>
        <v>60.3618770944</v>
      </c>
      <c r="I36" s="43">
        <f t="shared" si="25"/>
        <v>67.60530234572802</v>
      </c>
      <c r="J36" s="43">
        <f t="shared" si="25"/>
        <v>75.717938627215403</v>
      </c>
      <c r="K36" s="43">
        <f t="shared" si="25"/>
        <v>84.804091262481265</v>
      </c>
      <c r="L36" s="43">
        <f t="shared" si="25"/>
        <v>94.980582213979034</v>
      </c>
      <c r="M36" s="44">
        <f t="shared" si="25"/>
        <v>106.37825207965653</v>
      </c>
    </row>
    <row r="37" spans="1:34" x14ac:dyDescent="0.2">
      <c r="A37" s="94">
        <v>0.33</v>
      </c>
      <c r="B37" s="1" t="s">
        <v>6</v>
      </c>
      <c r="C37" s="95">
        <f t="shared" ref="C37:M37" si="26">C$7*$A37</f>
        <v>8.25</v>
      </c>
      <c r="D37" s="95">
        <f t="shared" si="26"/>
        <v>9.24</v>
      </c>
      <c r="E37" s="95">
        <f t="shared" si="26"/>
        <v>10.348800000000001</v>
      </c>
      <c r="F37" s="95">
        <f t="shared" si="26"/>
        <v>11.590656000000005</v>
      </c>
      <c r="G37" s="95">
        <f t="shared" si="26"/>
        <v>12.981534720000003</v>
      </c>
      <c r="H37" s="95">
        <f t="shared" si="26"/>
        <v>14.539318886399998</v>
      </c>
      <c r="I37" s="95">
        <f t="shared" si="26"/>
        <v>16.284037152768001</v>
      </c>
      <c r="J37" s="95">
        <f t="shared" si="26"/>
        <v>18.238121611100169</v>
      </c>
      <c r="K37" s="95">
        <f t="shared" si="26"/>
        <v>20.426696204432197</v>
      </c>
      <c r="L37" s="95">
        <f t="shared" si="26"/>
        <v>22.877899748964051</v>
      </c>
      <c r="M37" s="96">
        <f t="shared" si="26"/>
        <v>25.62324771883975</v>
      </c>
    </row>
    <row r="38" spans="1:34" x14ac:dyDescent="0.2">
      <c r="A38" s="127" t="s">
        <v>55</v>
      </c>
      <c r="B38" s="117" t="s">
        <v>7</v>
      </c>
      <c r="C38" s="43">
        <f>C36-C37</f>
        <v>58.75</v>
      </c>
      <c r="D38" s="43">
        <f t="shared" ref="D38:M38" si="27">D36-D37</f>
        <v>52.800000000000011</v>
      </c>
      <c r="E38" s="43">
        <f t="shared" si="27"/>
        <v>46.136000000000024</v>
      </c>
      <c r="F38" s="43">
        <f t="shared" si="27"/>
        <v>43.67232000000002</v>
      </c>
      <c r="G38" s="43">
        <f t="shared" si="27"/>
        <v>40.912998400000006</v>
      </c>
      <c r="H38" s="43">
        <f t="shared" si="27"/>
        <v>45.822558208000004</v>
      </c>
      <c r="I38" s="43">
        <f t="shared" si="27"/>
        <v>51.32126519296002</v>
      </c>
      <c r="J38" s="43">
        <f t="shared" si="27"/>
        <v>57.479817016115234</v>
      </c>
      <c r="K38" s="43">
        <f t="shared" si="27"/>
        <v>64.377395058049075</v>
      </c>
      <c r="L38" s="43">
        <f t="shared" si="27"/>
        <v>72.102682465014979</v>
      </c>
      <c r="M38" s="44">
        <f t="shared" si="27"/>
        <v>80.755004360816784</v>
      </c>
    </row>
    <row r="39" spans="1:34" x14ac:dyDescent="0.2">
      <c r="A39" s="107" t="s">
        <v>56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9"/>
    </row>
    <row r="40" spans="1:34" x14ac:dyDescent="0.2">
      <c r="A40" s="125">
        <f>A25</f>
        <v>5</v>
      </c>
      <c r="B40" s="1" t="s">
        <v>10</v>
      </c>
      <c r="C40" s="95">
        <f t="shared" ref="C40:M40" si="28">C15</f>
        <v>237</v>
      </c>
      <c r="D40" s="95">
        <f t="shared" si="28"/>
        <v>258.33000000000004</v>
      </c>
      <c r="E40" s="95">
        <f t="shared" si="28"/>
        <v>281.57970000000006</v>
      </c>
      <c r="F40" s="95">
        <f t="shared" si="28"/>
        <v>306.92187300000006</v>
      </c>
      <c r="G40" s="95">
        <f t="shared" si="28"/>
        <v>334.54484157000007</v>
      </c>
      <c r="H40" s="95">
        <f t="shared" si="28"/>
        <v>364.65387731130011</v>
      </c>
      <c r="I40" s="95">
        <f t="shared" si="28"/>
        <v>397.47272626931715</v>
      </c>
      <c r="J40" s="95">
        <f t="shared" si="28"/>
        <v>433.24527163355572</v>
      </c>
      <c r="K40" s="95">
        <f t="shared" si="28"/>
        <v>472.23734608057578</v>
      </c>
      <c r="L40" s="95">
        <f t="shared" si="28"/>
        <v>514.7387072278276</v>
      </c>
      <c r="M40" s="96">
        <f t="shared" si="28"/>
        <v>561.06519087833215</v>
      </c>
    </row>
    <row r="41" spans="1:34" x14ac:dyDescent="0.2">
      <c r="A41" s="128"/>
      <c r="B41" s="121" t="str">
        <f t="shared" ref="B41:M41" si="29">B33</f>
        <v>Total Capitalized Assets</v>
      </c>
      <c r="C41" s="95">
        <f t="shared" si="29"/>
        <v>42</v>
      </c>
      <c r="D41" s="95">
        <f t="shared" si="29"/>
        <v>76.040000000000006</v>
      </c>
      <c r="E41" s="95">
        <f t="shared" si="29"/>
        <v>101.16480000000001</v>
      </c>
      <c r="F41" s="95">
        <f t="shared" si="29"/>
        <v>121.30457600000001</v>
      </c>
      <c r="G41" s="95">
        <f t="shared" si="29"/>
        <v>135.86112512000003</v>
      </c>
      <c r="H41" s="95">
        <f t="shared" si="29"/>
        <v>152.16446013440003</v>
      </c>
      <c r="I41" s="95">
        <f t="shared" si="29"/>
        <v>170.42419535052801</v>
      </c>
      <c r="J41" s="95">
        <f t="shared" si="29"/>
        <v>190.87509879259136</v>
      </c>
      <c r="K41" s="95">
        <f t="shared" si="29"/>
        <v>213.78011064770232</v>
      </c>
      <c r="L41" s="95">
        <f t="shared" si="29"/>
        <v>239.43372392542668</v>
      </c>
      <c r="M41" s="96">
        <f t="shared" si="29"/>
        <v>268.16577079647794</v>
      </c>
      <c r="O41" s="109">
        <f t="shared" ref="O41:Y41" si="30">SUM(O25:O39)</f>
        <v>3</v>
      </c>
      <c r="P41" s="109">
        <f t="shared" si="30"/>
        <v>6.36</v>
      </c>
      <c r="Q41" s="109">
        <f t="shared" si="30"/>
        <v>7.1232000000000006</v>
      </c>
      <c r="R41" s="109">
        <f t="shared" si="30"/>
        <v>7.9779840000000011</v>
      </c>
      <c r="S41" s="109">
        <f t="shared" si="30"/>
        <v>8.9353420800000016</v>
      </c>
      <c r="T41" s="109">
        <f t="shared" si="30"/>
        <v>14.222367129600004</v>
      </c>
      <c r="U41" s="109">
        <f t="shared" si="30"/>
        <v>20.143835185152007</v>
      </c>
      <c r="V41" s="109">
        <f t="shared" si="30"/>
        <v>26.775879407370248</v>
      </c>
      <c r="W41" s="109">
        <f t="shared" si="30"/>
        <v>34.203768936254683</v>
      </c>
      <c r="X41" s="109">
        <f t="shared" si="30"/>
        <v>42.523005208605248</v>
      </c>
      <c r="Y41" s="109">
        <f t="shared" si="30"/>
        <v>42.523005208605248</v>
      </c>
    </row>
    <row r="42" spans="1:34" x14ac:dyDescent="0.2">
      <c r="A42" s="107" t="s">
        <v>57</v>
      </c>
      <c r="B42" s="117" t="str">
        <f>"Invested Capital plus "&amp;B41</f>
        <v>Invested Capital plus Total Capitalized Assets</v>
      </c>
      <c r="C42" s="43">
        <f>C41+C40</f>
        <v>279</v>
      </c>
      <c r="D42" s="43">
        <f t="shared" ref="D42:M42" si="31">D41+D40</f>
        <v>334.37000000000006</v>
      </c>
      <c r="E42" s="43">
        <f t="shared" si="31"/>
        <v>382.74450000000007</v>
      </c>
      <c r="F42" s="43">
        <f t="shared" si="31"/>
        <v>428.22644900000006</v>
      </c>
      <c r="G42" s="43">
        <f t="shared" si="31"/>
        <v>470.40596669000013</v>
      </c>
      <c r="H42" s="43">
        <f t="shared" si="31"/>
        <v>516.81833744570008</v>
      </c>
      <c r="I42" s="43">
        <f t="shared" si="31"/>
        <v>567.89692161984522</v>
      </c>
      <c r="J42" s="43">
        <f t="shared" si="31"/>
        <v>624.12037042614702</v>
      </c>
      <c r="K42" s="43">
        <f t="shared" si="31"/>
        <v>686.01745672827815</v>
      </c>
      <c r="L42" s="43">
        <f t="shared" si="31"/>
        <v>754.17243115325425</v>
      </c>
      <c r="M42" s="44">
        <f t="shared" si="31"/>
        <v>829.23096167481003</v>
      </c>
      <c r="O42" s="109">
        <f t="shared" ref="O42:Y42" si="32">+O41-C29</f>
        <v>-2</v>
      </c>
      <c r="P42" s="109">
        <f t="shared" si="32"/>
        <v>-4.2400000000000011</v>
      </c>
      <c r="Q42" s="109">
        <f t="shared" si="32"/>
        <v>-9.7488000000000028</v>
      </c>
      <c r="R42" s="109">
        <f t="shared" si="32"/>
        <v>-10.918656000000004</v>
      </c>
      <c r="S42" s="109">
        <f t="shared" si="32"/>
        <v>-12.228894720000003</v>
      </c>
      <c r="T42" s="109">
        <f t="shared" si="32"/>
        <v>-9.4815780864000043</v>
      </c>
      <c r="U42" s="109">
        <f t="shared" si="32"/>
        <v>-6.4045834567680018</v>
      </c>
      <c r="V42" s="109">
        <f t="shared" si="32"/>
        <v>-2.9583494715801635</v>
      </c>
      <c r="W42" s="109">
        <f t="shared" si="32"/>
        <v>0.90143259183022195</v>
      </c>
      <c r="X42" s="109">
        <f t="shared" si="32"/>
        <v>5.2243885028498482</v>
      </c>
      <c r="Y42" s="109">
        <f t="shared" si="32"/>
        <v>0.74855449815919428</v>
      </c>
    </row>
    <row r="43" spans="1:34" x14ac:dyDescent="0.2">
      <c r="A43" s="125">
        <f>A29</f>
        <v>3</v>
      </c>
      <c r="M43" s="25"/>
    </row>
    <row r="44" spans="1:34" x14ac:dyDescent="0.2">
      <c r="A44" s="110"/>
      <c r="B44" s="117" t="s">
        <v>43</v>
      </c>
      <c r="C44" s="122">
        <f>C38/C42</f>
        <v>0.21057347670250895</v>
      </c>
      <c r="D44" s="122">
        <f t="shared" ref="D44:M44" si="33">D38/D42</f>
        <v>0.15790890331070373</v>
      </c>
      <c r="E44" s="122">
        <f t="shared" si="33"/>
        <v>0.12053994244202076</v>
      </c>
      <c r="F44" s="122">
        <f t="shared" si="33"/>
        <v>0.1019841723975345</v>
      </c>
      <c r="G44" s="122">
        <f t="shared" si="33"/>
        <v>8.6973808363621105E-2</v>
      </c>
      <c r="H44" s="122">
        <f t="shared" si="33"/>
        <v>8.8662794811947609E-2</v>
      </c>
      <c r="I44" s="122">
        <f t="shared" si="33"/>
        <v>9.0370740250842366E-2</v>
      </c>
      <c r="J44" s="122">
        <f t="shared" si="33"/>
        <v>9.2097325675924074E-2</v>
      </c>
      <c r="K44" s="122">
        <f t="shared" si="33"/>
        <v>9.3842211195433262E-2</v>
      </c>
      <c r="L44" s="122">
        <f t="shared" si="33"/>
        <v>9.5605036045613684E-2</v>
      </c>
      <c r="M44" s="123">
        <f t="shared" si="33"/>
        <v>9.7385418650691363E-2</v>
      </c>
    </row>
    <row r="45" spans="1:34" x14ac:dyDescent="0.2">
      <c r="A45" s="107" t="s">
        <v>13</v>
      </c>
      <c r="B45" s="1" t="s">
        <v>14</v>
      </c>
      <c r="C45" s="2">
        <f>(C44-$A$32)*C42</f>
        <v>39.219999999999992</v>
      </c>
      <c r="D45" s="2">
        <f t="shared" ref="D45:M45" si="34">(D44-$A$32)*D42</f>
        <v>29.394100000000009</v>
      </c>
      <c r="E45" s="2">
        <f t="shared" si="34"/>
        <v>19.343885000000018</v>
      </c>
      <c r="F45" s="2">
        <f t="shared" si="34"/>
        <v>13.696468570000016</v>
      </c>
      <c r="G45" s="2">
        <f t="shared" si="34"/>
        <v>7.9845807316999924</v>
      </c>
      <c r="H45" s="2">
        <f t="shared" si="34"/>
        <v>9.6452745868009977</v>
      </c>
      <c r="I45" s="2">
        <f t="shared" si="34"/>
        <v>11.568480679570849</v>
      </c>
      <c r="J45" s="2">
        <f t="shared" si="34"/>
        <v>13.791391086284939</v>
      </c>
      <c r="K45" s="2">
        <f t="shared" si="34"/>
        <v>16.356173087069603</v>
      </c>
      <c r="L45" s="2">
        <f t="shared" si="34"/>
        <v>19.310612284287174</v>
      </c>
      <c r="M45" s="5">
        <f t="shared" si="34"/>
        <v>22.708837043580072</v>
      </c>
    </row>
    <row r="46" spans="1:34" x14ac:dyDescent="0.2">
      <c r="A46" s="126">
        <f>A32</f>
        <v>7.0000000000000007E-2</v>
      </c>
      <c r="B46" s="1" t="s">
        <v>15</v>
      </c>
      <c r="C46" s="114">
        <f t="shared" ref="C46:M46" si="35">C38/C3</f>
        <v>0.58750000000000002</v>
      </c>
      <c r="D46" s="114">
        <f t="shared" si="35"/>
        <v>0.47142857142857147</v>
      </c>
      <c r="E46" s="114">
        <f t="shared" si="35"/>
        <v>0.3677933673469389</v>
      </c>
      <c r="F46" s="114">
        <f t="shared" si="35"/>
        <v>0.31085094752186593</v>
      </c>
      <c r="G46" s="114">
        <f t="shared" si="35"/>
        <v>0.26000950124947936</v>
      </c>
      <c r="H46" s="114">
        <f t="shared" si="35"/>
        <v>0.2600095012494793</v>
      </c>
      <c r="I46" s="114">
        <f t="shared" si="35"/>
        <v>0.26000950124947936</v>
      </c>
      <c r="J46" s="114">
        <f t="shared" si="35"/>
        <v>0.26000950124947941</v>
      </c>
      <c r="K46" s="114">
        <f t="shared" si="35"/>
        <v>0.26000950124947947</v>
      </c>
      <c r="L46" s="114">
        <f t="shared" si="35"/>
        <v>0.26000950124947947</v>
      </c>
      <c r="M46" s="115">
        <f t="shared" si="35"/>
        <v>0.26000950124947947</v>
      </c>
    </row>
    <row r="47" spans="1:34" x14ac:dyDescent="0.2">
      <c r="B47" s="1" t="s">
        <v>16</v>
      </c>
      <c r="C47" s="114">
        <f t="shared" ref="C47:M47" si="36">C3/C42</f>
        <v>0.35842293906810035</v>
      </c>
      <c r="D47" s="114">
        <f t="shared" si="36"/>
        <v>0.33495827974997755</v>
      </c>
      <c r="E47" s="114">
        <f t="shared" si="36"/>
        <v>0.32773821700899686</v>
      </c>
      <c r="F47" s="114">
        <f t="shared" si="36"/>
        <v>0.3280806225960135</v>
      </c>
      <c r="G47" s="114">
        <f t="shared" si="36"/>
        <v>0.33450242374092964</v>
      </c>
      <c r="H47" s="114">
        <f t="shared" si="36"/>
        <v>0.34099828808515575</v>
      </c>
      <c r="I47" s="114">
        <f t="shared" si="36"/>
        <v>0.34756706895926681</v>
      </c>
      <c r="J47" s="114">
        <f t="shared" si="36"/>
        <v>0.35420753946816957</v>
      </c>
      <c r="K47" s="114">
        <f t="shared" si="36"/>
        <v>0.36091839238363654</v>
      </c>
      <c r="L47" s="114">
        <f t="shared" si="36"/>
        <v>0.36769824020346287</v>
      </c>
      <c r="M47" s="115">
        <f t="shared" si="36"/>
        <v>0.37454561538214687</v>
      </c>
    </row>
    <row r="48" spans="1:34" x14ac:dyDescent="0.2">
      <c r="A48" s="104"/>
      <c r="B48" s="120" t="s">
        <v>44</v>
      </c>
      <c r="C48" s="56"/>
      <c r="D48" s="47">
        <f>D38-(D42-C42)</f>
        <v>-2.57000000000005</v>
      </c>
      <c r="E48" s="47">
        <f t="shared" ref="E48:M48" si="37">E38-(E42-D42)</f>
        <v>-2.2384999999999877</v>
      </c>
      <c r="F48" s="47">
        <f t="shared" si="37"/>
        <v>-1.8096289999999655</v>
      </c>
      <c r="G48" s="47">
        <f t="shared" si="37"/>
        <v>-1.2665192900000619</v>
      </c>
      <c r="H48" s="47">
        <f t="shared" si="37"/>
        <v>-0.58981254769994962</v>
      </c>
      <c r="I48" s="47">
        <f t="shared" si="37"/>
        <v>0.24268101881488491</v>
      </c>
      <c r="J48" s="47">
        <f t="shared" si="37"/>
        <v>1.2563682098134308</v>
      </c>
      <c r="K48" s="47">
        <f t="shared" si="37"/>
        <v>2.480308755917946</v>
      </c>
      <c r="L48" s="47">
        <f t="shared" si="37"/>
        <v>3.9477080400388758</v>
      </c>
      <c r="M48" s="48">
        <f t="shared" si="37"/>
        <v>5.696473839261003</v>
      </c>
      <c r="N48" s="105">
        <f t="shared" ref="N48:AH48" si="38">N41-(N43-M43)</f>
        <v>0</v>
      </c>
      <c r="O48" s="105">
        <f t="shared" si="38"/>
        <v>3</v>
      </c>
      <c r="P48" s="105">
        <f t="shared" si="38"/>
        <v>6.36</v>
      </c>
      <c r="Q48" s="105">
        <f t="shared" si="38"/>
        <v>7.1232000000000006</v>
      </c>
      <c r="R48" s="105">
        <f t="shared" si="38"/>
        <v>7.9779840000000011</v>
      </c>
      <c r="S48" s="105">
        <f t="shared" si="38"/>
        <v>8.9353420800000016</v>
      </c>
      <c r="T48" s="105">
        <f t="shared" si="38"/>
        <v>14.222367129600004</v>
      </c>
      <c r="U48" s="105">
        <f t="shared" si="38"/>
        <v>20.143835185152007</v>
      </c>
      <c r="V48" s="105">
        <f t="shared" si="38"/>
        <v>26.775879407370248</v>
      </c>
      <c r="W48" s="105">
        <f t="shared" si="38"/>
        <v>34.203768936254683</v>
      </c>
      <c r="X48" s="105">
        <f t="shared" si="38"/>
        <v>42.523005208605248</v>
      </c>
      <c r="Y48" s="105">
        <f t="shared" si="38"/>
        <v>42.523005208605248</v>
      </c>
      <c r="Z48" s="105">
        <f t="shared" si="38"/>
        <v>0</v>
      </c>
      <c r="AA48" s="105">
        <f t="shared" si="38"/>
        <v>0</v>
      </c>
      <c r="AB48" s="105">
        <f t="shared" si="38"/>
        <v>0</v>
      </c>
      <c r="AC48" s="105">
        <f t="shared" si="38"/>
        <v>0</v>
      </c>
      <c r="AD48" s="105">
        <f t="shared" si="38"/>
        <v>0</v>
      </c>
      <c r="AE48" s="105">
        <f t="shared" si="38"/>
        <v>0</v>
      </c>
      <c r="AF48" s="105">
        <f t="shared" si="38"/>
        <v>0</v>
      </c>
      <c r="AG48" s="105">
        <f t="shared" si="38"/>
        <v>0</v>
      </c>
      <c r="AH48" s="105">
        <f t="shared" si="38"/>
        <v>0</v>
      </c>
    </row>
    <row r="50" spans="1:34" x14ac:dyDescent="0.2">
      <c r="A50" s="113"/>
      <c r="B50" s="142" t="s">
        <v>52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4"/>
    </row>
    <row r="51" spans="1:34" x14ac:dyDescent="0.2">
      <c r="A51" s="94"/>
      <c r="B51" s="117" t="s">
        <v>45</v>
      </c>
      <c r="C51" s="43">
        <f t="shared" ref="C51:M51" si="39">C23+C25-C29</f>
        <v>35</v>
      </c>
      <c r="D51" s="43">
        <f t="shared" si="39"/>
        <v>34.199999999999996</v>
      </c>
      <c r="E51" s="43">
        <f t="shared" si="39"/>
        <v>33.304000000000002</v>
      </c>
      <c r="F51" s="43">
        <f t="shared" si="39"/>
        <v>37.300480000000007</v>
      </c>
      <c r="G51" s="43">
        <f t="shared" si="39"/>
        <v>41.776537600000005</v>
      </c>
      <c r="H51" s="43">
        <f t="shared" si="39"/>
        <v>46.789722111999993</v>
      </c>
      <c r="I51" s="43">
        <f t="shared" si="39"/>
        <v>52.404488765440007</v>
      </c>
      <c r="J51" s="43">
        <f t="shared" si="39"/>
        <v>58.693027417292818</v>
      </c>
      <c r="K51" s="43">
        <f t="shared" si="39"/>
        <v>65.736190707367996</v>
      </c>
      <c r="L51" s="43">
        <f t="shared" si="39"/>
        <v>73.624533592252135</v>
      </c>
      <c r="M51" s="44">
        <f t="shared" si="39"/>
        <v>82.459477623322414</v>
      </c>
    </row>
    <row r="52" spans="1:34" x14ac:dyDescent="0.2">
      <c r="A52" s="94">
        <v>0.33</v>
      </c>
      <c r="B52" s="1" t="s">
        <v>6</v>
      </c>
      <c r="C52" s="95">
        <f t="shared" ref="C52:M52" si="40">C$7*$A52</f>
        <v>8.25</v>
      </c>
      <c r="D52" s="95">
        <f t="shared" si="40"/>
        <v>9.24</v>
      </c>
      <c r="E52" s="95">
        <f t="shared" si="40"/>
        <v>10.348800000000001</v>
      </c>
      <c r="F52" s="95">
        <f t="shared" si="40"/>
        <v>11.590656000000005</v>
      </c>
      <c r="G52" s="95">
        <f t="shared" si="40"/>
        <v>12.981534720000003</v>
      </c>
      <c r="H52" s="95">
        <f t="shared" si="40"/>
        <v>14.539318886399998</v>
      </c>
      <c r="I52" s="95">
        <f t="shared" si="40"/>
        <v>16.284037152768001</v>
      </c>
      <c r="J52" s="95">
        <f t="shared" si="40"/>
        <v>18.238121611100169</v>
      </c>
      <c r="K52" s="95">
        <f t="shared" si="40"/>
        <v>20.426696204432197</v>
      </c>
      <c r="L52" s="95">
        <f t="shared" si="40"/>
        <v>22.877899748964051</v>
      </c>
      <c r="M52" s="96">
        <f t="shared" si="40"/>
        <v>25.62324771883975</v>
      </c>
    </row>
    <row r="53" spans="1:34" x14ac:dyDescent="0.2">
      <c r="A53" s="127" t="s">
        <v>58</v>
      </c>
      <c r="B53" s="117" t="s">
        <v>7</v>
      </c>
      <c r="C53" s="43">
        <f>C51-C52</f>
        <v>26.75</v>
      </c>
      <c r="D53" s="43">
        <f t="shared" ref="D53:M53" si="41">D51-D52</f>
        <v>24.959999999999994</v>
      </c>
      <c r="E53" s="43">
        <f t="shared" si="41"/>
        <v>22.955200000000001</v>
      </c>
      <c r="F53" s="43">
        <f t="shared" si="41"/>
        <v>25.709824000000005</v>
      </c>
      <c r="G53" s="43">
        <f t="shared" si="41"/>
        <v>28.795002880000002</v>
      </c>
      <c r="H53" s="43">
        <f t="shared" si="41"/>
        <v>32.250403225599996</v>
      </c>
      <c r="I53" s="43">
        <f t="shared" si="41"/>
        <v>36.120451612672007</v>
      </c>
      <c r="J53" s="43">
        <f t="shared" si="41"/>
        <v>40.454905806192649</v>
      </c>
      <c r="K53" s="43">
        <f t="shared" si="41"/>
        <v>45.309494502935799</v>
      </c>
      <c r="L53" s="43">
        <f t="shared" si="41"/>
        <v>50.74663384328808</v>
      </c>
      <c r="M53" s="44">
        <f t="shared" si="41"/>
        <v>56.836229904482664</v>
      </c>
    </row>
    <row r="54" spans="1:34" x14ac:dyDescent="0.2">
      <c r="A54" s="107" t="s">
        <v>56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6"/>
    </row>
    <row r="55" spans="1:34" x14ac:dyDescent="0.2">
      <c r="A55" s="125">
        <v>0</v>
      </c>
      <c r="B55" s="1" t="s">
        <v>10</v>
      </c>
      <c r="C55" s="95">
        <f t="shared" ref="C55:M55" si="42">C70</f>
        <v>237</v>
      </c>
      <c r="D55" s="95">
        <f t="shared" si="42"/>
        <v>258.33000000000004</v>
      </c>
      <c r="E55" s="95">
        <f t="shared" si="42"/>
        <v>281.57970000000006</v>
      </c>
      <c r="F55" s="95">
        <f t="shared" si="42"/>
        <v>306.92187300000006</v>
      </c>
      <c r="G55" s="95">
        <f t="shared" si="42"/>
        <v>334.54484157000007</v>
      </c>
      <c r="H55" s="95">
        <f t="shared" si="42"/>
        <v>364.65387731130011</v>
      </c>
      <c r="I55" s="95">
        <f t="shared" si="42"/>
        <v>397.47272626931715</v>
      </c>
      <c r="J55" s="95">
        <f t="shared" si="42"/>
        <v>433.24527163355572</v>
      </c>
      <c r="K55" s="95">
        <f t="shared" si="42"/>
        <v>472.23734608057578</v>
      </c>
      <c r="L55" s="95">
        <f t="shared" si="42"/>
        <v>514.7387072278276</v>
      </c>
      <c r="M55" s="96">
        <f t="shared" si="42"/>
        <v>561.06519087833215</v>
      </c>
    </row>
    <row r="56" spans="1:34" x14ac:dyDescent="0.2">
      <c r="A56" s="128"/>
      <c r="B56" s="1" t="str">
        <f t="shared" ref="B56:M56" si="43">B32</f>
        <v>Capitalized Sales &amp; Marketing Asset</v>
      </c>
      <c r="C56" s="95">
        <f t="shared" si="43"/>
        <v>10</v>
      </c>
      <c r="D56" s="95">
        <f t="shared" si="43"/>
        <v>16.2</v>
      </c>
      <c r="E56" s="95">
        <f t="shared" si="43"/>
        <v>18.144000000000002</v>
      </c>
      <c r="F56" s="95">
        <f t="shared" si="43"/>
        <v>20.321280000000002</v>
      </c>
      <c r="G56" s="95">
        <f t="shared" si="43"/>
        <v>22.7598336</v>
      </c>
      <c r="H56" s="95">
        <f t="shared" si="43"/>
        <v>25.491013632000005</v>
      </c>
      <c r="I56" s="95">
        <f t="shared" si="43"/>
        <v>28.549935267840006</v>
      </c>
      <c r="J56" s="95">
        <f t="shared" si="43"/>
        <v>31.975927499980806</v>
      </c>
      <c r="K56" s="95">
        <f t="shared" si="43"/>
        <v>35.813038799978514</v>
      </c>
      <c r="L56" s="95">
        <f t="shared" si="43"/>
        <v>40.110603455975941</v>
      </c>
      <c r="M56" s="96">
        <f t="shared" si="43"/>
        <v>44.92387587069306</v>
      </c>
    </row>
    <row r="57" spans="1:34" x14ac:dyDescent="0.2">
      <c r="A57" s="107" t="s">
        <v>57</v>
      </c>
      <c r="B57" s="117" t="str">
        <f>"Invested Capital plus "&amp;B56</f>
        <v>Invested Capital plus Capitalized Sales &amp; Marketing Asset</v>
      </c>
      <c r="C57" s="43">
        <f>C56+C55</f>
        <v>247</v>
      </c>
      <c r="D57" s="43">
        <f t="shared" ref="D57:M57" si="44">D56+D55</f>
        <v>274.53000000000003</v>
      </c>
      <c r="E57" s="43">
        <f t="shared" si="44"/>
        <v>299.72370000000006</v>
      </c>
      <c r="F57" s="43">
        <f t="shared" si="44"/>
        <v>327.24315300000006</v>
      </c>
      <c r="G57" s="43">
        <f t="shared" si="44"/>
        <v>357.30467517000005</v>
      </c>
      <c r="H57" s="43">
        <f t="shared" si="44"/>
        <v>390.14489094330008</v>
      </c>
      <c r="I57" s="43">
        <f t="shared" si="44"/>
        <v>426.02266153715715</v>
      </c>
      <c r="J57" s="43">
        <f t="shared" si="44"/>
        <v>465.22119913353652</v>
      </c>
      <c r="K57" s="43">
        <f t="shared" si="44"/>
        <v>508.0503848805543</v>
      </c>
      <c r="L57" s="43">
        <f t="shared" si="44"/>
        <v>554.84931068380354</v>
      </c>
      <c r="M57" s="44">
        <f t="shared" si="44"/>
        <v>605.98906674902526</v>
      </c>
    </row>
    <row r="58" spans="1:34" x14ac:dyDescent="0.2">
      <c r="A58" s="125">
        <f>A29</f>
        <v>3</v>
      </c>
      <c r="M58" s="25"/>
    </row>
    <row r="59" spans="1:34" x14ac:dyDescent="0.2">
      <c r="A59" s="110"/>
      <c r="B59" s="117" t="s">
        <v>46</v>
      </c>
      <c r="C59" s="122">
        <f>C53/C57</f>
        <v>0.1082995951417004</v>
      </c>
      <c r="D59" s="122">
        <f t="shared" ref="D59:M59" si="45">D53/D57</f>
        <v>9.0919025243142798E-2</v>
      </c>
      <c r="E59" s="122">
        <f t="shared" si="45"/>
        <v>7.6587870762305402E-2</v>
      </c>
      <c r="F59" s="122">
        <f t="shared" si="45"/>
        <v>7.8564895137775426E-2</v>
      </c>
      <c r="G59" s="122">
        <f t="shared" si="45"/>
        <v>8.0589493731924394E-2</v>
      </c>
      <c r="H59" s="122">
        <f t="shared" si="45"/>
        <v>8.2662631176905407E-2</v>
      </c>
      <c r="I59" s="122">
        <f t="shared" si="45"/>
        <v>8.4785282271942305E-2</v>
      </c>
      <c r="J59" s="122">
        <f t="shared" si="45"/>
        <v>8.6958431562316918E-2</v>
      </c>
      <c r="K59" s="122">
        <f t="shared" si="45"/>
        <v>8.9183072882797504E-2</v>
      </c>
      <c r="L59" s="122">
        <f t="shared" si="45"/>
        <v>9.1460208864182005E-2</v>
      </c>
      <c r="M59" s="123">
        <f t="shared" si="45"/>
        <v>9.3790850401632403E-2</v>
      </c>
    </row>
    <row r="60" spans="1:34" x14ac:dyDescent="0.2">
      <c r="A60" s="107" t="s">
        <v>13</v>
      </c>
      <c r="B60" s="1" t="s">
        <v>14</v>
      </c>
      <c r="C60" s="2">
        <f>(C59-$A$32)*C57</f>
        <v>9.4599999999999973</v>
      </c>
      <c r="D60" s="2">
        <f t="shared" ref="D60:M60" si="46">(D59-$A$32)*D57</f>
        <v>5.7428999999999908</v>
      </c>
      <c r="E60" s="2">
        <f t="shared" si="46"/>
        <v>1.9745409999999939</v>
      </c>
      <c r="F60" s="2">
        <f t="shared" si="46"/>
        <v>2.8028032899999982</v>
      </c>
      <c r="G60" s="2">
        <f t="shared" si="46"/>
        <v>3.7836756180999949</v>
      </c>
      <c r="H60" s="2">
        <f t="shared" si="46"/>
        <v>4.9402608595689887</v>
      </c>
      <c r="I60" s="2">
        <f t="shared" si="46"/>
        <v>6.2988653050710042</v>
      </c>
      <c r="J60" s="2">
        <f t="shared" si="46"/>
        <v>7.8894218668450868</v>
      </c>
      <c r="K60" s="2">
        <f t="shared" si="46"/>
        <v>9.7459675612969932</v>
      </c>
      <c r="L60" s="2">
        <f t="shared" si="46"/>
        <v>11.907182095421833</v>
      </c>
      <c r="M60" s="5">
        <f t="shared" si="46"/>
        <v>14.416995232050889</v>
      </c>
    </row>
    <row r="61" spans="1:34" x14ac:dyDescent="0.2">
      <c r="A61" s="126">
        <f>A32</f>
        <v>7.0000000000000007E-2</v>
      </c>
      <c r="B61" s="1" t="s">
        <v>15</v>
      </c>
      <c r="C61" s="114">
        <f t="shared" ref="C61:M61" si="47">C53/C3</f>
        <v>0.26750000000000002</v>
      </c>
      <c r="D61" s="114">
        <f t="shared" si="47"/>
        <v>0.22285714285714278</v>
      </c>
      <c r="E61" s="114">
        <f t="shared" si="47"/>
        <v>0.1829974489795918</v>
      </c>
      <c r="F61" s="114">
        <f t="shared" si="47"/>
        <v>0.1829974489795918</v>
      </c>
      <c r="G61" s="114">
        <f t="shared" si="47"/>
        <v>0.18299744897959178</v>
      </c>
      <c r="H61" s="114">
        <f t="shared" si="47"/>
        <v>0.18299744897959175</v>
      </c>
      <c r="I61" s="114">
        <f t="shared" si="47"/>
        <v>0.1829974489795918</v>
      </c>
      <c r="J61" s="114">
        <f t="shared" si="47"/>
        <v>0.1829974489795918</v>
      </c>
      <c r="K61" s="114">
        <f t="shared" si="47"/>
        <v>0.18299744897959191</v>
      </c>
      <c r="L61" s="114">
        <f t="shared" si="47"/>
        <v>0.18299744897959183</v>
      </c>
      <c r="M61" s="115">
        <f t="shared" si="47"/>
        <v>0.18299744897959186</v>
      </c>
    </row>
    <row r="62" spans="1:34" x14ac:dyDescent="0.2">
      <c r="B62" s="1" t="s">
        <v>16</v>
      </c>
      <c r="C62" s="102">
        <f t="shared" ref="C62:M62" si="48">C3/C57</f>
        <v>0.40485829959514169</v>
      </c>
      <c r="D62" s="102">
        <f t="shared" si="48"/>
        <v>0.40796998506538451</v>
      </c>
      <c r="E62" s="102">
        <f t="shared" si="48"/>
        <v>0.41851878913812957</v>
      </c>
      <c r="F62" s="102">
        <f t="shared" si="48"/>
        <v>0.42932235162762905</v>
      </c>
      <c r="G62" s="102">
        <f t="shared" si="48"/>
        <v>0.44038588614922103</v>
      </c>
      <c r="H62" s="102">
        <f t="shared" si="48"/>
        <v>0.45171466399033855</v>
      </c>
      <c r="I62" s="102">
        <f t="shared" si="48"/>
        <v>0.46331401199695255</v>
      </c>
      <c r="J62" s="102">
        <f t="shared" si="48"/>
        <v>0.47518931027292455</v>
      </c>
      <c r="K62" s="102">
        <f t="shared" si="48"/>
        <v>0.48734598968504367</v>
      </c>
      <c r="L62" s="102">
        <f t="shared" si="48"/>
        <v>0.49978952916650649</v>
      </c>
      <c r="M62" s="103">
        <f t="shared" si="48"/>
        <v>0.51252545281159689</v>
      </c>
      <c r="N62" s="105">
        <f>N55-(N57-M73)</f>
        <v>0</v>
      </c>
      <c r="O62" s="105">
        <f t="shared" ref="O62:AH62" si="49">O55-(O57-N57)</f>
        <v>0</v>
      </c>
      <c r="P62" s="105">
        <f t="shared" si="49"/>
        <v>0</v>
      </c>
      <c r="Q62" s="105">
        <f t="shared" si="49"/>
        <v>0</v>
      </c>
      <c r="R62" s="105">
        <f t="shared" si="49"/>
        <v>0</v>
      </c>
      <c r="S62" s="105">
        <f t="shared" si="49"/>
        <v>0</v>
      </c>
      <c r="T62" s="105">
        <f t="shared" si="49"/>
        <v>0</v>
      </c>
      <c r="U62" s="105">
        <f t="shared" si="49"/>
        <v>0</v>
      </c>
      <c r="V62" s="105">
        <f t="shared" si="49"/>
        <v>0</v>
      </c>
      <c r="W62" s="105">
        <f t="shared" si="49"/>
        <v>0</v>
      </c>
      <c r="X62" s="105">
        <f t="shared" si="49"/>
        <v>0</v>
      </c>
      <c r="Y62" s="105">
        <f t="shared" si="49"/>
        <v>0</v>
      </c>
      <c r="Z62" s="105">
        <f t="shared" si="49"/>
        <v>0</v>
      </c>
      <c r="AA62" s="105">
        <f t="shared" si="49"/>
        <v>0</v>
      </c>
      <c r="AB62" s="105">
        <f t="shared" si="49"/>
        <v>0</v>
      </c>
      <c r="AC62" s="105">
        <f t="shared" si="49"/>
        <v>0</v>
      </c>
      <c r="AD62" s="105">
        <f t="shared" si="49"/>
        <v>0</v>
      </c>
      <c r="AE62" s="105">
        <f t="shared" si="49"/>
        <v>0</v>
      </c>
      <c r="AF62" s="105">
        <f t="shared" si="49"/>
        <v>0</v>
      </c>
      <c r="AG62" s="105">
        <f t="shared" si="49"/>
        <v>0</v>
      </c>
      <c r="AH62" s="105">
        <f t="shared" si="49"/>
        <v>0</v>
      </c>
    </row>
    <row r="63" spans="1:34" x14ac:dyDescent="0.2">
      <c r="A63" s="104"/>
      <c r="B63" s="120" t="s">
        <v>47</v>
      </c>
      <c r="C63" s="56"/>
      <c r="D63" s="47">
        <f>D53-(D57-C57)</f>
        <v>-2.5700000000000358</v>
      </c>
      <c r="E63" s="47">
        <f t="shared" ref="E63:M63" si="50">E53-(E57-D57)</f>
        <v>-2.2385000000000339</v>
      </c>
      <c r="F63" s="47">
        <f t="shared" si="50"/>
        <v>-1.8096289999999939</v>
      </c>
      <c r="G63" s="47">
        <f t="shared" si="50"/>
        <v>-1.2665192899999873</v>
      </c>
      <c r="H63" s="47">
        <f t="shared" si="50"/>
        <v>-0.58981254770003488</v>
      </c>
      <c r="I63" s="47">
        <f t="shared" si="50"/>
        <v>0.24268101881494175</v>
      </c>
      <c r="J63" s="47">
        <f t="shared" si="50"/>
        <v>1.2563682098132816</v>
      </c>
      <c r="K63" s="47">
        <f t="shared" si="50"/>
        <v>2.4803087559180099</v>
      </c>
      <c r="L63" s="47">
        <f t="shared" si="50"/>
        <v>3.9477080400388473</v>
      </c>
      <c r="M63" s="48">
        <f t="shared" si="50"/>
        <v>5.6964738392609462</v>
      </c>
    </row>
    <row r="65" spans="1:34" x14ac:dyDescent="0.2">
      <c r="A65" s="113"/>
      <c r="B65" s="142" t="s">
        <v>54</v>
      </c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4"/>
    </row>
    <row r="66" spans="1:34" x14ac:dyDescent="0.2">
      <c r="A66" s="94"/>
      <c r="B66" s="117" t="s">
        <v>48</v>
      </c>
      <c r="C66" s="43">
        <f t="shared" ref="C66:M66" si="51">C23+C24-C27</f>
        <v>57</v>
      </c>
      <c r="D66" s="43">
        <f t="shared" si="51"/>
        <v>55.840000000000011</v>
      </c>
      <c r="E66" s="43">
        <f t="shared" si="51"/>
        <v>54.540800000000011</v>
      </c>
      <c r="F66" s="43">
        <f t="shared" si="51"/>
        <v>53.085696000000027</v>
      </c>
      <c r="G66" s="43">
        <f t="shared" si="51"/>
        <v>51.455979520000014</v>
      </c>
      <c r="H66" s="43">
        <f t="shared" si="51"/>
        <v>57.630697062400003</v>
      </c>
      <c r="I66" s="43">
        <f t="shared" si="51"/>
        <v>64.546380709888012</v>
      </c>
      <c r="J66" s="43">
        <f t="shared" si="51"/>
        <v>72.291946395074618</v>
      </c>
      <c r="K66" s="43">
        <f t="shared" si="51"/>
        <v>80.966979962483578</v>
      </c>
      <c r="L66" s="43">
        <f t="shared" si="51"/>
        <v>90.6830175579816</v>
      </c>
      <c r="M66" s="44">
        <f t="shared" si="51"/>
        <v>101.56497966493941</v>
      </c>
    </row>
    <row r="67" spans="1:34" x14ac:dyDescent="0.2">
      <c r="A67" s="94">
        <v>0.33</v>
      </c>
      <c r="B67" s="1" t="s">
        <v>6</v>
      </c>
      <c r="C67" s="95">
        <f t="shared" ref="C67:M67" si="52">C$7*$A67</f>
        <v>8.25</v>
      </c>
      <c r="D67" s="95">
        <f t="shared" si="52"/>
        <v>9.24</v>
      </c>
      <c r="E67" s="95">
        <f t="shared" si="52"/>
        <v>10.348800000000001</v>
      </c>
      <c r="F67" s="95">
        <f t="shared" si="52"/>
        <v>11.590656000000005</v>
      </c>
      <c r="G67" s="95">
        <f t="shared" si="52"/>
        <v>12.981534720000003</v>
      </c>
      <c r="H67" s="95">
        <f t="shared" si="52"/>
        <v>14.539318886399998</v>
      </c>
      <c r="I67" s="95">
        <f t="shared" si="52"/>
        <v>16.284037152768001</v>
      </c>
      <c r="J67" s="95">
        <f t="shared" si="52"/>
        <v>18.238121611100169</v>
      </c>
      <c r="K67" s="95">
        <f t="shared" si="52"/>
        <v>20.426696204432197</v>
      </c>
      <c r="L67" s="95">
        <f t="shared" si="52"/>
        <v>22.877899748964051</v>
      </c>
      <c r="M67" s="96">
        <f t="shared" si="52"/>
        <v>25.62324771883975</v>
      </c>
    </row>
    <row r="68" spans="1:34" x14ac:dyDescent="0.2">
      <c r="A68" s="127" t="s">
        <v>59</v>
      </c>
      <c r="B68" s="117" t="s">
        <v>7</v>
      </c>
      <c r="C68" s="43">
        <f t="shared" ref="C68:M68" si="53">C66-C67</f>
        <v>48.75</v>
      </c>
      <c r="D68" s="43">
        <f t="shared" si="53"/>
        <v>46.600000000000009</v>
      </c>
      <c r="E68" s="43">
        <f t="shared" si="53"/>
        <v>44.192000000000007</v>
      </c>
      <c r="F68" s="43">
        <f t="shared" si="53"/>
        <v>41.495040000000024</v>
      </c>
      <c r="G68" s="43">
        <f t="shared" si="53"/>
        <v>38.474444800000015</v>
      </c>
      <c r="H68" s="43">
        <f t="shared" si="53"/>
        <v>43.091378176000006</v>
      </c>
      <c r="I68" s="43">
        <f t="shared" si="53"/>
        <v>48.262343557120012</v>
      </c>
      <c r="J68" s="43">
        <f t="shared" si="53"/>
        <v>54.053824783974449</v>
      </c>
      <c r="K68" s="43">
        <f t="shared" si="53"/>
        <v>60.54028375805138</v>
      </c>
      <c r="L68" s="43">
        <f t="shared" si="53"/>
        <v>67.805117809017545</v>
      </c>
      <c r="M68" s="44">
        <f t="shared" si="53"/>
        <v>75.941731946099665</v>
      </c>
    </row>
    <row r="69" spans="1:34" x14ac:dyDescent="0.2">
      <c r="A69" s="107" t="s">
        <v>56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6"/>
    </row>
    <row r="70" spans="1:34" x14ac:dyDescent="0.2">
      <c r="A70" s="125">
        <f>A25</f>
        <v>5</v>
      </c>
      <c r="B70" s="1" t="s">
        <v>10</v>
      </c>
      <c r="C70" s="95">
        <f t="shared" ref="C70:M70" si="54">C40</f>
        <v>237</v>
      </c>
      <c r="D70" s="95">
        <f t="shared" si="54"/>
        <v>258.33000000000004</v>
      </c>
      <c r="E70" s="95">
        <f t="shared" si="54"/>
        <v>281.57970000000006</v>
      </c>
      <c r="F70" s="95">
        <f t="shared" si="54"/>
        <v>306.92187300000006</v>
      </c>
      <c r="G70" s="95">
        <f t="shared" si="54"/>
        <v>334.54484157000007</v>
      </c>
      <c r="H70" s="95">
        <f t="shared" si="54"/>
        <v>364.65387731130011</v>
      </c>
      <c r="I70" s="95">
        <f t="shared" si="54"/>
        <v>397.47272626931715</v>
      </c>
      <c r="J70" s="95">
        <f t="shared" si="54"/>
        <v>433.24527163355572</v>
      </c>
      <c r="K70" s="95">
        <f t="shared" si="54"/>
        <v>472.23734608057578</v>
      </c>
      <c r="L70" s="95">
        <f t="shared" si="54"/>
        <v>514.7387072278276</v>
      </c>
      <c r="M70" s="96">
        <f t="shared" si="54"/>
        <v>561.06519087833215</v>
      </c>
    </row>
    <row r="71" spans="1:34" x14ac:dyDescent="0.2">
      <c r="A71" s="128"/>
      <c r="B71" s="1" t="str">
        <f t="shared" ref="B71:M71" si="55">B31</f>
        <v>Capitalized R&amp;D Asset</v>
      </c>
      <c r="C71" s="95">
        <f t="shared" si="55"/>
        <v>32</v>
      </c>
      <c r="D71" s="95">
        <f t="shared" si="55"/>
        <v>59.840000000000011</v>
      </c>
      <c r="E71" s="95">
        <f t="shared" si="55"/>
        <v>83.020800000000008</v>
      </c>
      <c r="F71" s="95">
        <f t="shared" si="55"/>
        <v>100.98329600000001</v>
      </c>
      <c r="G71" s="95">
        <f t="shared" si="55"/>
        <v>113.10129152000002</v>
      </c>
      <c r="H71" s="95">
        <f t="shared" si="55"/>
        <v>126.67344650240001</v>
      </c>
      <c r="I71" s="95">
        <f t="shared" si="55"/>
        <v>141.87426008268801</v>
      </c>
      <c r="J71" s="95">
        <f t="shared" si="55"/>
        <v>158.89917129261056</v>
      </c>
      <c r="K71" s="95">
        <f t="shared" si="55"/>
        <v>177.96707184772382</v>
      </c>
      <c r="L71" s="95">
        <f t="shared" si="55"/>
        <v>199.32312046945074</v>
      </c>
      <c r="M71" s="96">
        <f t="shared" si="55"/>
        <v>223.24189492578489</v>
      </c>
    </row>
    <row r="72" spans="1:34" x14ac:dyDescent="0.2">
      <c r="A72" s="107" t="s">
        <v>57</v>
      </c>
      <c r="B72" s="117" t="str">
        <f>"Invested Capital plus "&amp;B71</f>
        <v>Invested Capital plus Capitalized R&amp;D Asset</v>
      </c>
      <c r="C72" s="43">
        <f t="shared" ref="C72:M72" si="56">C71+C70</f>
        <v>269</v>
      </c>
      <c r="D72" s="43">
        <f t="shared" si="56"/>
        <v>318.17000000000007</v>
      </c>
      <c r="E72" s="43">
        <f t="shared" si="56"/>
        <v>364.60050000000007</v>
      </c>
      <c r="F72" s="43">
        <f t="shared" si="56"/>
        <v>407.90516900000006</v>
      </c>
      <c r="G72" s="43">
        <f t="shared" si="56"/>
        <v>447.64613309000009</v>
      </c>
      <c r="H72" s="43">
        <f t="shared" si="56"/>
        <v>491.3273238137001</v>
      </c>
      <c r="I72" s="43">
        <f t="shared" si="56"/>
        <v>539.34698635200516</v>
      </c>
      <c r="J72" s="43">
        <f t="shared" si="56"/>
        <v>592.14444292616622</v>
      </c>
      <c r="K72" s="43">
        <f t="shared" si="56"/>
        <v>650.20441792829956</v>
      </c>
      <c r="L72" s="43">
        <f t="shared" si="56"/>
        <v>714.06182769727832</v>
      </c>
      <c r="M72" s="44">
        <f t="shared" si="56"/>
        <v>784.30708580411704</v>
      </c>
    </row>
    <row r="73" spans="1:34" x14ac:dyDescent="0.2">
      <c r="A73" s="125">
        <v>0</v>
      </c>
      <c r="M73" s="25"/>
    </row>
    <row r="74" spans="1:34" x14ac:dyDescent="0.2">
      <c r="A74" s="110"/>
      <c r="B74" s="117" t="s">
        <v>49</v>
      </c>
      <c r="C74" s="122">
        <f t="shared" ref="C74:M74" si="57">C68/C72</f>
        <v>0.18122676579925651</v>
      </c>
      <c r="D74" s="122">
        <f t="shared" si="57"/>
        <v>0.14646258289593614</v>
      </c>
      <c r="E74" s="122">
        <f t="shared" si="57"/>
        <v>0.1212066357561221</v>
      </c>
      <c r="F74" s="122">
        <f t="shared" si="57"/>
        <v>0.10172717374905346</v>
      </c>
      <c r="G74" s="122">
        <f t="shared" si="57"/>
        <v>8.5948346151053776E-2</v>
      </c>
      <c r="H74" s="122">
        <f t="shared" si="57"/>
        <v>8.7704013368365516E-2</v>
      </c>
      <c r="I74" s="122">
        <f t="shared" si="57"/>
        <v>8.9482920602844643E-2</v>
      </c>
      <c r="J74" s="122">
        <f t="shared" si="57"/>
        <v>9.1284863735036956E-2</v>
      </c>
      <c r="K74" s="122">
        <f t="shared" si="57"/>
        <v>9.3109616128027262E-2</v>
      </c>
      <c r="L74" s="122">
        <f t="shared" si="57"/>
        <v>9.4956928348455372E-2</v>
      </c>
      <c r="M74" s="123">
        <f t="shared" si="57"/>
        <v>9.6826527925907749E-2</v>
      </c>
    </row>
    <row r="75" spans="1:34" x14ac:dyDescent="0.2">
      <c r="A75" s="107" t="s">
        <v>13</v>
      </c>
      <c r="B75" s="1" t="s">
        <v>14</v>
      </c>
      <c r="C75" s="2">
        <f t="shared" ref="C75:M75" si="58">(C74-$A$32)*C72</f>
        <v>29.919999999999998</v>
      </c>
      <c r="D75" s="2">
        <f t="shared" si="58"/>
        <v>24.328100000000006</v>
      </c>
      <c r="E75" s="2">
        <f t="shared" si="58"/>
        <v>18.669964999999998</v>
      </c>
      <c r="F75" s="2">
        <f t="shared" si="58"/>
        <v>12.941678170000015</v>
      </c>
      <c r="G75" s="2">
        <f t="shared" si="58"/>
        <v>7.1392154837000064</v>
      </c>
      <c r="H75" s="2">
        <f t="shared" si="58"/>
        <v>8.6984655090409966</v>
      </c>
      <c r="I75" s="2">
        <f t="shared" si="58"/>
        <v>10.508054512479646</v>
      </c>
      <c r="J75" s="2">
        <f t="shared" si="58"/>
        <v>12.603713779142812</v>
      </c>
      <c r="K75" s="2">
        <f t="shared" si="58"/>
        <v>15.025974503070405</v>
      </c>
      <c r="L75" s="2">
        <f t="shared" si="58"/>
        <v>17.820789870208056</v>
      </c>
      <c r="M75" s="5">
        <f t="shared" si="58"/>
        <v>21.040235939811467</v>
      </c>
    </row>
    <row r="76" spans="1:34" x14ac:dyDescent="0.2">
      <c r="A76" s="126">
        <f>A32</f>
        <v>7.0000000000000007E-2</v>
      </c>
      <c r="B76" s="1" t="s">
        <v>15</v>
      </c>
      <c r="C76" s="114">
        <f t="shared" ref="C76:M76" si="59">C68/C3</f>
        <v>0.48749999999999999</v>
      </c>
      <c r="D76" s="114">
        <f t="shared" si="59"/>
        <v>0.41607142857142859</v>
      </c>
      <c r="E76" s="114">
        <f t="shared" si="59"/>
        <v>0.35229591836734692</v>
      </c>
      <c r="F76" s="114">
        <f t="shared" si="59"/>
        <v>0.29535349854227411</v>
      </c>
      <c r="G76" s="114">
        <f t="shared" si="59"/>
        <v>0.24451205226988756</v>
      </c>
      <c r="H76" s="114">
        <f t="shared" si="59"/>
        <v>0.24451205226988748</v>
      </c>
      <c r="I76" s="114">
        <f t="shared" si="59"/>
        <v>0.24451205226988751</v>
      </c>
      <c r="J76" s="114">
        <f t="shared" si="59"/>
        <v>0.24451205226988765</v>
      </c>
      <c r="K76" s="114">
        <f t="shared" si="59"/>
        <v>0.24451205226988762</v>
      </c>
      <c r="L76" s="114">
        <f t="shared" si="59"/>
        <v>0.24451205226988759</v>
      </c>
      <c r="M76" s="115">
        <f t="shared" si="59"/>
        <v>0.24451205226988759</v>
      </c>
    </row>
    <row r="77" spans="1:34" x14ac:dyDescent="0.2">
      <c r="B77" s="1" t="s">
        <v>16</v>
      </c>
      <c r="C77" s="102">
        <f t="shared" ref="C77:M77" si="60">C3/C72</f>
        <v>0.37174721189591076</v>
      </c>
      <c r="D77" s="102">
        <f t="shared" si="60"/>
        <v>0.35201307477134863</v>
      </c>
      <c r="E77" s="102">
        <f t="shared" si="60"/>
        <v>0.34404780026357618</v>
      </c>
      <c r="F77" s="102">
        <f t="shared" si="60"/>
        <v>0.34442515240595056</v>
      </c>
      <c r="G77" s="102">
        <f t="shared" si="60"/>
        <v>0.35150965096880255</v>
      </c>
      <c r="H77" s="102">
        <f t="shared" si="60"/>
        <v>0.35868994004254479</v>
      </c>
      <c r="I77" s="102">
        <f t="shared" si="60"/>
        <v>0.36596527562606684</v>
      </c>
      <c r="J77" s="102">
        <f t="shared" si="60"/>
        <v>0.37333482291612557</v>
      </c>
      <c r="K77" s="102">
        <f t="shared" si="60"/>
        <v>0.38079765501806301</v>
      </c>
      <c r="L77" s="102">
        <f t="shared" si="60"/>
        <v>0.3883527518048222</v>
      </c>
      <c r="M77" s="103">
        <f t="shared" si="60"/>
        <v>0.39599899893291368</v>
      </c>
    </row>
    <row r="78" spans="1:34" x14ac:dyDescent="0.2">
      <c r="A78" s="104"/>
      <c r="B78" s="120" t="s">
        <v>50</v>
      </c>
      <c r="C78" s="47"/>
      <c r="D78" s="47">
        <f t="shared" ref="D78:M78" si="61">D68-(D72-C72)</f>
        <v>-2.5700000000000642</v>
      </c>
      <c r="E78" s="47">
        <f t="shared" si="61"/>
        <v>-2.2384999999999877</v>
      </c>
      <c r="F78" s="47">
        <f t="shared" si="61"/>
        <v>-1.8096289999999655</v>
      </c>
      <c r="G78" s="47">
        <f t="shared" si="61"/>
        <v>-1.2665192900000193</v>
      </c>
      <c r="H78" s="47">
        <f t="shared" si="61"/>
        <v>-0.58981254770000646</v>
      </c>
      <c r="I78" s="47">
        <f t="shared" si="61"/>
        <v>0.24268101881495596</v>
      </c>
      <c r="J78" s="47">
        <f t="shared" si="61"/>
        <v>1.2563682098133881</v>
      </c>
      <c r="K78" s="47">
        <f t="shared" si="61"/>
        <v>2.4803087559180383</v>
      </c>
      <c r="L78" s="47">
        <f t="shared" si="61"/>
        <v>3.9477080400387905</v>
      </c>
      <c r="M78" s="48">
        <f t="shared" si="61"/>
        <v>5.6964738392609462</v>
      </c>
      <c r="N78" s="105">
        <f>N71-(N73-M58)</f>
        <v>0</v>
      </c>
      <c r="O78" s="105">
        <f t="shared" ref="O78:AH78" si="62">O71-(O73-N73)</f>
        <v>0</v>
      </c>
      <c r="P78" s="105">
        <f t="shared" si="62"/>
        <v>0</v>
      </c>
      <c r="Q78" s="105">
        <f t="shared" si="62"/>
        <v>0</v>
      </c>
      <c r="R78" s="105">
        <f t="shared" si="62"/>
        <v>0</v>
      </c>
      <c r="S78" s="105">
        <f t="shared" si="62"/>
        <v>0</v>
      </c>
      <c r="T78" s="105">
        <f t="shared" si="62"/>
        <v>0</v>
      </c>
      <c r="U78" s="105">
        <f t="shared" si="62"/>
        <v>0</v>
      </c>
      <c r="V78" s="105">
        <f t="shared" si="62"/>
        <v>0</v>
      </c>
      <c r="W78" s="105">
        <f t="shared" si="62"/>
        <v>0</v>
      </c>
      <c r="X78" s="105">
        <f t="shared" si="62"/>
        <v>0</v>
      </c>
      <c r="Y78" s="105">
        <f t="shared" si="62"/>
        <v>0</v>
      </c>
      <c r="Z78" s="105">
        <f t="shared" si="62"/>
        <v>0</v>
      </c>
      <c r="AA78" s="105">
        <f t="shared" si="62"/>
        <v>0</v>
      </c>
      <c r="AB78" s="105">
        <f t="shared" si="62"/>
        <v>0</v>
      </c>
      <c r="AC78" s="105">
        <f t="shared" si="62"/>
        <v>0</v>
      </c>
      <c r="AD78" s="105">
        <f t="shared" si="62"/>
        <v>0</v>
      </c>
      <c r="AE78" s="105">
        <f t="shared" si="62"/>
        <v>0</v>
      </c>
      <c r="AF78" s="105">
        <f t="shared" si="62"/>
        <v>0</v>
      </c>
      <c r="AG78" s="105">
        <f t="shared" si="62"/>
        <v>0</v>
      </c>
      <c r="AH78" s="105">
        <f t="shared" si="62"/>
        <v>0</v>
      </c>
    </row>
    <row r="79" spans="1:34" x14ac:dyDescent="0.2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1" spans="1:1" x14ac:dyDescent="0.2">
      <c r="A81" s="85" t="s">
        <v>38</v>
      </c>
    </row>
  </sheetData>
  <mergeCells count="6">
    <mergeCell ref="B65:M65"/>
    <mergeCell ref="B2:M2"/>
    <mergeCell ref="B10:M10"/>
    <mergeCell ref="A22:M22"/>
    <mergeCell ref="B35:M35"/>
    <mergeCell ref="B50:M50"/>
  </mergeCells>
  <hyperlinks>
    <hyperlink ref="A81" r:id="rId1" xr:uid="{30E4F81F-C56C-2243-B17C-4934F0D4880B}"/>
  </hyperlinks>
  <pageMargins left="0.75" right="0.75" top="1" bottom="1" header="0.5" footer="0.5"/>
  <pageSetup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Scenario 1</vt:lpstr>
      <vt:lpstr>Scenario 2</vt:lpstr>
      <vt:lpstr>Scenario 3</vt:lpstr>
      <vt:lpstr>Scenario 4</vt:lpstr>
      <vt:lpstr>AllScenarios - ROIC &amp; FCFcharts</vt:lpstr>
    </vt:vector>
  </TitlesOfParts>
  <Company>New Constructs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Trainer</dc:creator>
  <cp:lastModifiedBy>Kyle Guske II</cp:lastModifiedBy>
  <dcterms:created xsi:type="dcterms:W3CDTF">2020-08-22T16:44:29Z</dcterms:created>
  <dcterms:modified xsi:type="dcterms:W3CDTF">2022-04-06T21:59:01Z</dcterms:modified>
</cp:coreProperties>
</file>